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washoenv.sharepoint.com/sites/AirQuality/Shared Documents/PERMITTING &amp; COMPLIANCE/Permitting/Tools/"/>
    </mc:Choice>
  </mc:AlternateContent>
  <xr:revisionPtr revIDLastSave="9532" documentId="8_{4E15036D-04DC-42BF-AD84-24D8D0C98860}" xr6:coauthVersionLast="47" xr6:coauthVersionMax="47" xr10:uidLastSave="{42560B70-9D89-46B1-AA37-4FF1585B7326}"/>
  <bookViews>
    <workbookView xWindow="28680" yWindow="-120" windowWidth="29040" windowHeight="15720" xr2:uid="{C5917CE1-0C4C-4D1D-BBD4-D8709E192FA1}"/>
  </bookViews>
  <sheets>
    <sheet name="Emissions" sheetId="2" r:id="rId1"/>
    <sheet name="Monthly Tracker" sheetId="15" r:id="rId2"/>
    <sheet name="Tier 0" sheetId="9" state="hidden" r:id="rId3"/>
    <sheet name="Tier 1" sheetId="3" state="hidden" r:id="rId4"/>
    <sheet name="Tier 2" sheetId="10" state="hidden" r:id="rId5"/>
    <sheet name="Tier 3" sheetId="11" state="hidden" r:id="rId6"/>
    <sheet name="Tier 4" sheetId="12" state="hidden" r:id="rId7"/>
    <sheet name="Tier Determination" sheetId="16" state="hidden" r:id="rId8"/>
  </sheets>
  <definedNames>
    <definedName name="Tier0_CO">'Tier 0'!$L$11</definedName>
    <definedName name="Tier0_NOx">'Tier 0'!$L$9</definedName>
    <definedName name="Tier0_PM10">'Tier 0'!$L$6</definedName>
    <definedName name="Tier0_PM2.5">'Tier 0'!$L$7</definedName>
    <definedName name="Tier0_SO2">'Tier 0'!$L$8</definedName>
    <definedName name="Tier0_TOX">'Tier 0'!$L$12</definedName>
    <definedName name="Tier0_VOC">'Tier 0'!$L$10</definedName>
    <definedName name="Tier1_CO">'Tier 1'!$L$11</definedName>
    <definedName name="Tier1_NOx">'Tier 1'!$L$9</definedName>
    <definedName name="Tier1_PM10">'Tier 1'!$L$6</definedName>
    <definedName name="Tier1_PM2.5">'Tier 1'!$L$7</definedName>
    <definedName name="Tier1_SO2">'Tier 1'!$L$8</definedName>
    <definedName name="Tier1_TOX">'Tier 1'!$L$12</definedName>
    <definedName name="Tier1_VOC">'Tier 1'!$L$10</definedName>
    <definedName name="Tier2_CO">'Tier 2'!$L$11</definedName>
    <definedName name="Tier2_NOx">'Tier 2'!$L$9</definedName>
    <definedName name="Tier2_PM10">'Tier 2'!$L$6</definedName>
    <definedName name="Tier2_PM2.5">'Tier 2'!$L$7</definedName>
    <definedName name="Tier2_SO2">'Tier 2'!$L$8</definedName>
    <definedName name="Tier2_TOX">'Tier 2'!$L$12</definedName>
    <definedName name="Tier2_VOC">'Tier 2'!$L$10</definedName>
    <definedName name="Tier3_CO">'Tier 3'!$L$11</definedName>
    <definedName name="Tier3_NOx">'Tier 3'!$L$9</definedName>
    <definedName name="Tier3_PM10">'Tier 3'!$L$6</definedName>
    <definedName name="Tier3_PM2.5">'Tier 3'!$L$7</definedName>
    <definedName name="Tier3_SO2">'Tier 3'!$L$8</definedName>
    <definedName name="Tier3_TOX">'Tier 3'!$L$12</definedName>
    <definedName name="Tier3_VOC">'Tier 3'!$L$10</definedName>
    <definedName name="Tier4_CO">'Tier 4'!$L$11</definedName>
    <definedName name="Tier4_NOx">'Tier 4'!$L$9</definedName>
    <definedName name="Tier4_PM10">'Tier 4'!$L$6</definedName>
    <definedName name="Tier4_PM2.5">'Tier 4'!$L$7</definedName>
    <definedName name="Tier4_SO2">'Tier 4'!$L$8</definedName>
    <definedName name="Tier4_TOX">'Tier 4'!$L$12</definedName>
    <definedName name="Tier4_VOC">'Tier 4'!$L$10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2" l="1"/>
  <c r="I44" i="2"/>
  <c r="I43" i="2"/>
  <c r="I42" i="2"/>
  <c r="I41" i="2"/>
  <c r="I40" i="2"/>
  <c r="I39" i="2"/>
  <c r="I38" i="2"/>
  <c r="I37" i="2"/>
  <c r="I36" i="2"/>
  <c r="I35" i="2"/>
  <c r="I34" i="2"/>
  <c r="I33" i="2"/>
  <c r="I32" i="2"/>
  <c r="I31" i="2"/>
  <c r="I30" i="2"/>
  <c r="H44" i="2"/>
  <c r="H43" i="2"/>
  <c r="H42" i="2"/>
  <c r="H41" i="2"/>
  <c r="H40" i="2"/>
  <c r="H39" i="2"/>
  <c r="H38" i="2"/>
  <c r="H37" i="2"/>
  <c r="H36" i="2"/>
  <c r="H35" i="2"/>
  <c r="H34" i="2"/>
  <c r="H33" i="2"/>
  <c r="H32" i="2"/>
  <c r="H31" i="2"/>
  <c r="H30" i="2"/>
  <c r="C18" i="10"/>
  <c r="C19" i="11"/>
  <c r="D19" i="11" s="1"/>
  <c r="F19" i="11" s="1"/>
  <c r="M17" i="12"/>
  <c r="M18" i="12"/>
  <c r="M19" i="12"/>
  <c r="M20" i="12"/>
  <c r="M21" i="12"/>
  <c r="K17" i="12"/>
  <c r="K18" i="12"/>
  <c r="K19" i="12"/>
  <c r="K20" i="12"/>
  <c r="K21" i="12"/>
  <c r="I17" i="12"/>
  <c r="I18" i="12"/>
  <c r="I19" i="12"/>
  <c r="I20" i="12"/>
  <c r="I21" i="12"/>
  <c r="C17" i="12"/>
  <c r="C18" i="12"/>
  <c r="C19" i="12"/>
  <c r="C20" i="12"/>
  <c r="C21" i="12"/>
  <c r="P96" i="15"/>
  <c r="H6" i="15"/>
  <c r="H5" i="15"/>
  <c r="E5" i="15"/>
  <c r="F5" i="15"/>
  <c r="G5" i="15"/>
  <c r="I5" i="15"/>
  <c r="J5" i="15"/>
  <c r="K5" i="15"/>
  <c r="L5" i="15"/>
  <c r="M5" i="15"/>
  <c r="N5" i="15"/>
  <c r="O5" i="15"/>
  <c r="E6" i="15"/>
  <c r="F6" i="15"/>
  <c r="G6" i="15"/>
  <c r="I6" i="15"/>
  <c r="J6" i="15"/>
  <c r="K6" i="15"/>
  <c r="L6" i="15"/>
  <c r="M6" i="15"/>
  <c r="N6" i="15"/>
  <c r="O6" i="15"/>
  <c r="D6" i="15"/>
  <c r="D5" i="15"/>
  <c r="P55" i="15"/>
  <c r="P54" i="15"/>
  <c r="B96" i="15"/>
  <c r="B93" i="15"/>
  <c r="B90" i="15"/>
  <c r="B87" i="15"/>
  <c r="B84" i="15"/>
  <c r="B81" i="15"/>
  <c r="B78" i="15"/>
  <c r="B75" i="15"/>
  <c r="B72" i="15"/>
  <c r="B69" i="15"/>
  <c r="B66" i="15"/>
  <c r="B63" i="15"/>
  <c r="B60" i="15"/>
  <c r="B57" i="15"/>
  <c r="B54" i="15"/>
  <c r="P97" i="15"/>
  <c r="P94" i="15"/>
  <c r="P93" i="15"/>
  <c r="P91" i="15"/>
  <c r="P90" i="15"/>
  <c r="P88" i="15"/>
  <c r="P87" i="15"/>
  <c r="P85" i="15"/>
  <c r="P84" i="15"/>
  <c r="P82" i="15"/>
  <c r="P81" i="15"/>
  <c r="P79" i="15"/>
  <c r="P78" i="15"/>
  <c r="P76" i="15"/>
  <c r="P75" i="15"/>
  <c r="P73" i="15"/>
  <c r="P72" i="15"/>
  <c r="P70" i="15"/>
  <c r="P69" i="15"/>
  <c r="P67" i="15"/>
  <c r="P66" i="15"/>
  <c r="P64" i="15"/>
  <c r="P63" i="15"/>
  <c r="P61" i="15"/>
  <c r="P60" i="15"/>
  <c r="P58" i="15"/>
  <c r="P57" i="15"/>
  <c r="G30" i="2"/>
  <c r="B55" i="15" s="1"/>
  <c r="A55" i="15" s="1"/>
  <c r="G31" i="2"/>
  <c r="B58" i="15" s="1"/>
  <c r="A58" i="15" s="1"/>
  <c r="G32" i="2"/>
  <c r="B61" i="15" s="1"/>
  <c r="A60" i="15" s="1"/>
  <c r="G33" i="2"/>
  <c r="B64" i="15" s="1"/>
  <c r="A64" i="15" s="1"/>
  <c r="G34" i="2"/>
  <c r="B67" i="15" s="1"/>
  <c r="A67" i="15" s="1"/>
  <c r="G35" i="2"/>
  <c r="B70" i="15" s="1"/>
  <c r="A70" i="15" s="1"/>
  <c r="G36" i="2"/>
  <c r="B73" i="15" s="1"/>
  <c r="A72" i="15" s="1"/>
  <c r="G37" i="2"/>
  <c r="B76" i="15" s="1"/>
  <c r="A76" i="15" s="1"/>
  <c r="G38" i="2"/>
  <c r="B79" i="15" s="1"/>
  <c r="A78" i="15" s="1"/>
  <c r="G39" i="2"/>
  <c r="B82" i="15" s="1"/>
  <c r="A81" i="15" s="1"/>
  <c r="G40" i="2"/>
  <c r="B85" i="15" s="1"/>
  <c r="A85" i="15" s="1"/>
  <c r="G41" i="2"/>
  <c r="B88" i="15" s="1"/>
  <c r="A88" i="15" s="1"/>
  <c r="G42" i="2"/>
  <c r="B91" i="15" s="1"/>
  <c r="A91" i="15" s="1"/>
  <c r="G43" i="2"/>
  <c r="B94" i="15" s="1"/>
  <c r="A94" i="15" s="1"/>
  <c r="B97" i="15"/>
  <c r="A96" i="15" s="1"/>
  <c r="D28" i="9"/>
  <c r="P21" i="9"/>
  <c r="P20" i="9"/>
  <c r="P19" i="9"/>
  <c r="P18" i="9"/>
  <c r="O21" i="9"/>
  <c r="O20" i="9"/>
  <c r="O19" i="9"/>
  <c r="O18" i="9"/>
  <c r="N21" i="9"/>
  <c r="N20" i="9"/>
  <c r="N19" i="9"/>
  <c r="N18" i="9"/>
  <c r="M21" i="9"/>
  <c r="M20" i="9"/>
  <c r="M19" i="9"/>
  <c r="M18" i="9"/>
  <c r="K18" i="9"/>
  <c r="L18" i="9" s="1"/>
  <c r="K19" i="9"/>
  <c r="L19" i="9"/>
  <c r="K20" i="9"/>
  <c r="L20" i="9"/>
  <c r="K21" i="9"/>
  <c r="L21" i="9"/>
  <c r="J21" i="9"/>
  <c r="J20" i="9"/>
  <c r="J19" i="9"/>
  <c r="I21" i="9"/>
  <c r="I20" i="9"/>
  <c r="I19" i="9"/>
  <c r="I18" i="9"/>
  <c r="G21" i="9"/>
  <c r="G20" i="9"/>
  <c r="G19" i="9"/>
  <c r="G18" i="9"/>
  <c r="H21" i="9"/>
  <c r="H20" i="9"/>
  <c r="H19" i="9"/>
  <c r="H18" i="9"/>
  <c r="F18" i="9"/>
  <c r="F19" i="9"/>
  <c r="F20" i="9"/>
  <c r="F21" i="9"/>
  <c r="E18" i="9"/>
  <c r="E19" i="9"/>
  <c r="E20" i="9"/>
  <c r="E21" i="9"/>
  <c r="D19" i="9"/>
  <c r="D20" i="9"/>
  <c r="D21" i="9"/>
  <c r="C18" i="9"/>
  <c r="C19" i="9"/>
  <c r="C20" i="9"/>
  <c r="C21" i="9"/>
  <c r="T18" i="9"/>
  <c r="E31" i="9"/>
  <c r="E30" i="9"/>
  <c r="E29" i="9"/>
  <c r="C29" i="9"/>
  <c r="K31" i="3"/>
  <c r="I31" i="3"/>
  <c r="C31" i="9"/>
  <c r="K30" i="3"/>
  <c r="I30" i="3"/>
  <c r="C30" i="9"/>
  <c r="K27" i="3"/>
  <c r="K26" i="3"/>
  <c r="I27" i="3"/>
  <c r="I26" i="3"/>
  <c r="E27" i="9"/>
  <c r="E26" i="9"/>
  <c r="C27" i="9"/>
  <c r="C26" i="9"/>
  <c r="G16" i="2"/>
  <c r="G17" i="2"/>
  <c r="G18" i="2"/>
  <c r="G19" i="2"/>
  <c r="G20" i="2"/>
  <c r="G21" i="2"/>
  <c r="G22" i="2"/>
  <c r="G23" i="2"/>
  <c r="G24" i="2"/>
  <c r="G25" i="2"/>
  <c r="G26" i="2"/>
  <c r="G27" i="2"/>
  <c r="G28" i="2"/>
  <c r="G29" i="2"/>
  <c r="G15" i="2"/>
  <c r="AG10" i="16"/>
  <c r="G21" i="12"/>
  <c r="H21" i="12" s="1"/>
  <c r="G20" i="12"/>
  <c r="H20" i="12" s="1"/>
  <c r="J21" i="12"/>
  <c r="L21" i="12"/>
  <c r="N21" i="12"/>
  <c r="I21" i="11"/>
  <c r="J21" i="11" s="1"/>
  <c r="I20" i="11"/>
  <c r="J20" i="11" s="1"/>
  <c r="I19" i="11"/>
  <c r="J19" i="11" s="1"/>
  <c r="T17" i="12"/>
  <c r="T18" i="12"/>
  <c r="T19" i="12"/>
  <c r="T21" i="12"/>
  <c r="S21" i="12"/>
  <c r="S20" i="12"/>
  <c r="S19" i="12"/>
  <c r="S18" i="12"/>
  <c r="S17" i="12"/>
  <c r="P29" i="12"/>
  <c r="I31" i="12"/>
  <c r="I30" i="12"/>
  <c r="J29" i="12"/>
  <c r="G31" i="12"/>
  <c r="E31" i="12"/>
  <c r="C31" i="12"/>
  <c r="G30" i="12"/>
  <c r="E30" i="12"/>
  <c r="C30" i="12"/>
  <c r="L29" i="12"/>
  <c r="H29" i="12"/>
  <c r="F29" i="12"/>
  <c r="D29" i="12"/>
  <c r="G19" i="12" s="1"/>
  <c r="H19" i="12" s="1"/>
  <c r="N19" i="11"/>
  <c r="N20" i="11"/>
  <c r="N21" i="11"/>
  <c r="M19" i="11"/>
  <c r="M20" i="11"/>
  <c r="M21" i="11"/>
  <c r="L21" i="11"/>
  <c r="L20" i="11"/>
  <c r="L19" i="11"/>
  <c r="K21" i="11"/>
  <c r="K20" i="11"/>
  <c r="K19" i="11"/>
  <c r="H21" i="11"/>
  <c r="H20" i="11"/>
  <c r="H19" i="11"/>
  <c r="G21" i="11"/>
  <c r="G20" i="11"/>
  <c r="G19" i="11"/>
  <c r="F20" i="11"/>
  <c r="F21" i="11"/>
  <c r="E19" i="11"/>
  <c r="E20" i="11"/>
  <c r="E21" i="11"/>
  <c r="D20" i="11"/>
  <c r="D21" i="11"/>
  <c r="C21" i="11"/>
  <c r="C20" i="11"/>
  <c r="C20" i="3"/>
  <c r="E20" i="3" s="1"/>
  <c r="C19" i="10"/>
  <c r="E19" i="10" s="1"/>
  <c r="I30" i="11"/>
  <c r="I29" i="11"/>
  <c r="G30" i="11"/>
  <c r="G29" i="11"/>
  <c r="E30" i="11"/>
  <c r="E29" i="11"/>
  <c r="C30" i="11"/>
  <c r="C29" i="11"/>
  <c r="J28" i="11"/>
  <c r="H28" i="11"/>
  <c r="F28" i="11"/>
  <c r="D28" i="11"/>
  <c r="N18" i="10"/>
  <c r="M18" i="10"/>
  <c r="M19" i="10"/>
  <c r="N19" i="10" s="1"/>
  <c r="M20" i="10"/>
  <c r="N20" i="10" s="1"/>
  <c r="M21" i="10"/>
  <c r="N21" i="10" s="1"/>
  <c r="L19" i="10"/>
  <c r="L20" i="10"/>
  <c r="L18" i="10"/>
  <c r="K18" i="10"/>
  <c r="K19" i="10"/>
  <c r="K20" i="10"/>
  <c r="K21" i="10"/>
  <c r="L21" i="10" s="1"/>
  <c r="J21" i="10"/>
  <c r="J20" i="10"/>
  <c r="J18" i="10"/>
  <c r="I21" i="10"/>
  <c r="I20" i="10"/>
  <c r="I19" i="10"/>
  <c r="J19" i="10" s="1"/>
  <c r="I18" i="10"/>
  <c r="G21" i="10"/>
  <c r="H21" i="10" s="1"/>
  <c r="G20" i="10"/>
  <c r="H20" i="10" s="1"/>
  <c r="G19" i="10"/>
  <c r="G18" i="10"/>
  <c r="D19" i="10"/>
  <c r="D18" i="10"/>
  <c r="F18" i="10" s="1"/>
  <c r="C21" i="10"/>
  <c r="D21" i="10" s="1"/>
  <c r="F21" i="10" s="1"/>
  <c r="C20" i="10"/>
  <c r="H19" i="10"/>
  <c r="H18" i="10"/>
  <c r="E21" i="10"/>
  <c r="K30" i="10"/>
  <c r="K29" i="10"/>
  <c r="I30" i="10"/>
  <c r="I29" i="10"/>
  <c r="G30" i="10"/>
  <c r="G29" i="10"/>
  <c r="E30" i="10"/>
  <c r="E29" i="10"/>
  <c r="C30" i="10"/>
  <c r="C29" i="10"/>
  <c r="L28" i="10"/>
  <c r="J28" i="10"/>
  <c r="H28" i="10"/>
  <c r="F28" i="10"/>
  <c r="D28" i="10"/>
  <c r="I20" i="3"/>
  <c r="M21" i="3"/>
  <c r="N21" i="3" s="1"/>
  <c r="M20" i="3"/>
  <c r="N20" i="3" s="1"/>
  <c r="I21" i="3"/>
  <c r="J21" i="3" s="1"/>
  <c r="J20" i="3"/>
  <c r="C21" i="3"/>
  <c r="E21" i="3" s="1"/>
  <c r="K20" i="3"/>
  <c r="L20" i="3" s="1"/>
  <c r="G30" i="3"/>
  <c r="G29" i="3"/>
  <c r="E30" i="3"/>
  <c r="E29" i="3"/>
  <c r="C30" i="3"/>
  <c r="C29" i="3"/>
  <c r="P28" i="3"/>
  <c r="L28" i="3"/>
  <c r="J28" i="3"/>
  <c r="H28" i="3"/>
  <c r="F28" i="3"/>
  <c r="D28" i="3"/>
  <c r="G21" i="3" s="1"/>
  <c r="H21" i="3" s="1"/>
  <c r="N28" i="3"/>
  <c r="V29" i="12"/>
  <c r="S29" i="12"/>
  <c r="N29" i="12"/>
  <c r="A61" i="15" l="1"/>
  <c r="A63" i="15"/>
  <c r="A82" i="15"/>
  <c r="A84" i="15"/>
  <c r="A87" i="15"/>
  <c r="L19" i="12"/>
  <c r="E18" i="12"/>
  <c r="D17" i="12"/>
  <c r="F17" i="12" s="1"/>
  <c r="A79" i="15"/>
  <c r="A66" i="15"/>
  <c r="A97" i="15"/>
  <c r="A54" i="15"/>
  <c r="A90" i="15"/>
  <c r="A73" i="15"/>
  <c r="A57" i="15"/>
  <c r="A75" i="15"/>
  <c r="A93" i="15"/>
  <c r="A69" i="15"/>
  <c r="P6" i="15"/>
  <c r="P5" i="15"/>
  <c r="D21" i="12"/>
  <c r="F21" i="12" s="1"/>
  <c r="E21" i="12"/>
  <c r="E17" i="12"/>
  <c r="G17" i="12"/>
  <c r="H17" i="12" s="1"/>
  <c r="G18" i="12"/>
  <c r="H18" i="12" s="1"/>
  <c r="T20" i="12"/>
  <c r="L20" i="12" s="1"/>
  <c r="L17" i="12"/>
  <c r="J17" i="12"/>
  <c r="J18" i="12"/>
  <c r="J19" i="12"/>
  <c r="L18" i="12"/>
  <c r="N17" i="12"/>
  <c r="N18" i="12"/>
  <c r="N19" i="12"/>
  <c r="N20" i="12"/>
  <c r="D18" i="12"/>
  <c r="F18" i="12" s="1"/>
  <c r="D20" i="10"/>
  <c r="F20" i="10" s="1"/>
  <c r="E20" i="10"/>
  <c r="E18" i="10"/>
  <c r="F19" i="10"/>
  <c r="G20" i="3"/>
  <c r="H20" i="3" s="1"/>
  <c r="K21" i="3"/>
  <c r="L21" i="3" s="1"/>
  <c r="D21" i="3"/>
  <c r="F21" i="3" s="1"/>
  <c r="D20" i="3"/>
  <c r="F20" i="3" s="1"/>
  <c r="P52" i="15"/>
  <c r="I29" i="2" s="1"/>
  <c r="P51" i="15"/>
  <c r="H29" i="2" s="1"/>
  <c r="P49" i="15"/>
  <c r="I28" i="2" s="1"/>
  <c r="P48" i="15"/>
  <c r="H28" i="2" s="1"/>
  <c r="P46" i="15"/>
  <c r="I27" i="2" s="1"/>
  <c r="P45" i="15"/>
  <c r="H27" i="2" s="1"/>
  <c r="P43" i="15"/>
  <c r="I26" i="2" s="1"/>
  <c r="P42" i="15"/>
  <c r="H26" i="2" s="1"/>
  <c r="P40" i="15"/>
  <c r="I25" i="2" s="1"/>
  <c r="P39" i="15"/>
  <c r="H25" i="2" s="1"/>
  <c r="P37" i="15"/>
  <c r="I24" i="2" s="1"/>
  <c r="P36" i="15"/>
  <c r="H24" i="2" s="1"/>
  <c r="P34" i="15"/>
  <c r="I23" i="2" s="1"/>
  <c r="P33" i="15"/>
  <c r="H23" i="2" s="1"/>
  <c r="P31" i="15"/>
  <c r="I22" i="2" s="1"/>
  <c r="P30" i="15"/>
  <c r="H22" i="2" s="1"/>
  <c r="P28" i="15"/>
  <c r="I21" i="2" s="1"/>
  <c r="P27" i="15"/>
  <c r="H21" i="2" s="1"/>
  <c r="P25" i="15"/>
  <c r="I20" i="2" s="1"/>
  <c r="P24" i="15"/>
  <c r="H20" i="2" s="1"/>
  <c r="P22" i="15"/>
  <c r="I19" i="2" s="1"/>
  <c r="P21" i="15"/>
  <c r="H19" i="2" s="1"/>
  <c r="P19" i="15"/>
  <c r="I18" i="2" s="1"/>
  <c r="P18" i="15"/>
  <c r="H18" i="2" s="1"/>
  <c r="P16" i="15"/>
  <c r="I17" i="2" s="1"/>
  <c r="P15" i="15"/>
  <c r="H17" i="2" s="1"/>
  <c r="P13" i="15"/>
  <c r="I16" i="2" s="1"/>
  <c r="P12" i="15"/>
  <c r="H16" i="2" s="1"/>
  <c r="P10" i="15"/>
  <c r="I15" i="2" s="1"/>
  <c r="P9" i="15"/>
  <c r="H15" i="2" s="1"/>
  <c r="B15" i="15"/>
  <c r="B18" i="15"/>
  <c r="B21" i="15"/>
  <c r="B12" i="15"/>
  <c r="E20" i="12" l="1"/>
  <c r="J20" i="12"/>
  <c r="D19" i="12"/>
  <c r="F19" i="12" s="1"/>
  <c r="E19" i="12"/>
  <c r="D20" i="12"/>
  <c r="F20" i="12" s="1"/>
  <c r="B51" i="15"/>
  <c r="B48" i="15"/>
  <c r="B45" i="15"/>
  <c r="B42" i="15"/>
  <c r="B39" i="15"/>
  <c r="B36" i="15"/>
  <c r="B33" i="15"/>
  <c r="B30" i="15"/>
  <c r="B27" i="15"/>
  <c r="B24" i="15"/>
  <c r="B9" i="15"/>
  <c r="S30" i="10"/>
  <c r="Q30" i="10"/>
  <c r="O30" i="10"/>
  <c r="S29" i="10"/>
  <c r="Q29" i="10"/>
  <c r="O29" i="10"/>
  <c r="M29" i="10"/>
  <c r="T28" i="10"/>
  <c r="R28" i="10"/>
  <c r="P28" i="10"/>
  <c r="M30" i="10"/>
  <c r="N28" i="10"/>
  <c r="J18" i="9"/>
  <c r="D18" i="9"/>
  <c r="F28" i="9"/>
  <c r="S18" i="9"/>
  <c r="S27" i="9" l="1"/>
  <c r="T27" i="9" s="1"/>
  <c r="F33" i="12" l="1"/>
  <c r="H32" i="11"/>
  <c r="H32" i="10"/>
  <c r="L32" i="10"/>
  <c r="L32" i="3"/>
  <c r="N32" i="10"/>
  <c r="J32" i="3"/>
  <c r="H32" i="3"/>
  <c r="F32" i="3"/>
  <c r="D32" i="3"/>
  <c r="L33" i="12"/>
  <c r="D32" i="10"/>
  <c r="D33" i="12"/>
  <c r="F32" i="11"/>
  <c r="J32" i="10"/>
  <c r="N32" i="3"/>
  <c r="N33" i="12"/>
  <c r="J33" i="12"/>
  <c r="H33" i="12"/>
  <c r="D32" i="11"/>
  <c r="F32" i="10"/>
  <c r="P32" i="10"/>
  <c r="P32" i="3"/>
  <c r="P33" i="12"/>
  <c r="S33" i="12"/>
  <c r="J32" i="11"/>
  <c r="V33" i="12"/>
  <c r="T32" i="10"/>
  <c r="R32" i="10"/>
  <c r="D32" i="9"/>
  <c r="B13" i="15"/>
  <c r="B16" i="15"/>
  <c r="B19" i="15"/>
  <c r="B22" i="15"/>
  <c r="B25" i="15"/>
  <c r="B28" i="15"/>
  <c r="B31" i="15"/>
  <c r="B34" i="15"/>
  <c r="B37" i="15"/>
  <c r="B40" i="15"/>
  <c r="B43" i="15"/>
  <c r="B46" i="15"/>
  <c r="B49" i="15"/>
  <c r="B52" i="15"/>
  <c r="B10" i="15"/>
  <c r="W26" i="2"/>
  <c r="A13" i="15" l="1"/>
  <c r="A12" i="15"/>
  <c r="A51" i="15"/>
  <c r="A52" i="15"/>
  <c r="A40" i="15"/>
  <c r="A39" i="15"/>
  <c r="A28" i="15"/>
  <c r="A27" i="15"/>
  <c r="A25" i="15"/>
  <c r="A24" i="15"/>
  <c r="A22" i="15"/>
  <c r="A21" i="15"/>
  <c r="A10" i="15"/>
  <c r="A9" i="15"/>
  <c r="A19" i="15"/>
  <c r="A18" i="15"/>
  <c r="A15" i="15"/>
  <c r="A16" i="15"/>
  <c r="A49" i="15"/>
  <c r="A48" i="15"/>
  <c r="A46" i="15"/>
  <c r="A45" i="15"/>
  <c r="A43" i="15"/>
  <c r="A42" i="15"/>
  <c r="A37" i="15"/>
  <c r="A36" i="15"/>
  <c r="A34" i="15"/>
  <c r="A33" i="15"/>
  <c r="A31" i="15"/>
  <c r="A30" i="15"/>
  <c r="O21" i="10"/>
  <c r="P21" i="10" s="1"/>
  <c r="O20" i="10"/>
  <c r="P20" i="10" s="1"/>
  <c r="O18" i="10"/>
  <c r="P18" i="10" s="1"/>
  <c r="O19" i="10"/>
  <c r="P19" i="10" s="1"/>
  <c r="O21" i="12"/>
  <c r="P21" i="12" s="1"/>
  <c r="O17" i="12"/>
  <c r="P17" i="12" s="1"/>
  <c r="O18" i="12"/>
  <c r="P18" i="12" s="1"/>
  <c r="O19" i="12"/>
  <c r="P19" i="12" s="1"/>
  <c r="O20" i="12"/>
  <c r="P20" i="12" s="1"/>
  <c r="O21" i="3"/>
  <c r="P21" i="3" s="1"/>
  <c r="O20" i="3"/>
  <c r="P20" i="3" s="1"/>
  <c r="O19" i="11"/>
  <c r="P19" i="11" s="1"/>
  <c r="O20" i="11"/>
  <c r="P20" i="11" s="1"/>
  <c r="O21" i="11"/>
  <c r="P21" i="11" s="1"/>
  <c r="C6" i="9" a="1"/>
  <c r="M16" i="9" s="1"/>
  <c r="C6" i="12" a="1"/>
  <c r="C6" i="3" a="1"/>
  <c r="C6" i="11" a="1"/>
  <c r="O16" i="11" s="1"/>
  <c r="C6" i="10" a="1"/>
  <c r="O16" i="12" l="1"/>
  <c r="S16" i="12"/>
  <c r="T16" i="12" s="1"/>
  <c r="G16" i="12"/>
  <c r="O17" i="9"/>
  <c r="P17" i="9" s="1"/>
  <c r="M17" i="9"/>
  <c r="N17" i="9" s="1"/>
  <c r="K16" i="9"/>
  <c r="O16" i="9"/>
  <c r="C17" i="9"/>
  <c r="K17" i="9"/>
  <c r="L17" i="9" s="1"/>
  <c r="G17" i="9"/>
  <c r="H17" i="9" s="1"/>
  <c r="C16" i="9"/>
  <c r="G16" i="9"/>
  <c r="I17" i="9"/>
  <c r="J17" i="9" s="1"/>
  <c r="I16" i="9"/>
  <c r="I17" i="11"/>
  <c r="J17" i="11" s="1"/>
  <c r="C16" i="11"/>
  <c r="O17" i="11"/>
  <c r="P17" i="11" s="1"/>
  <c r="I16" i="11"/>
  <c r="O18" i="11"/>
  <c r="P18" i="11" s="1"/>
  <c r="M17" i="11"/>
  <c r="N17" i="11" s="1"/>
  <c r="G16" i="11"/>
  <c r="M16" i="11"/>
  <c r="K16" i="11"/>
  <c r="G17" i="11"/>
  <c r="H17" i="11" s="1"/>
  <c r="I18" i="11"/>
  <c r="J18" i="11" s="1"/>
  <c r="M18" i="11"/>
  <c r="N18" i="11" s="1"/>
  <c r="C18" i="11"/>
  <c r="C17" i="11"/>
  <c r="K18" i="11"/>
  <c r="L18" i="11" s="1"/>
  <c r="K17" i="11"/>
  <c r="L17" i="11" s="1"/>
  <c r="G18" i="11"/>
  <c r="H18" i="11" s="1"/>
  <c r="K19" i="3"/>
  <c r="L19" i="3" s="1"/>
  <c r="C19" i="3"/>
  <c r="M19" i="3"/>
  <c r="N19" i="3" s="1"/>
  <c r="I19" i="3"/>
  <c r="J19" i="3" s="1"/>
  <c r="O19" i="3"/>
  <c r="P19" i="3" s="1"/>
  <c r="G19" i="3"/>
  <c r="H19" i="3" s="1"/>
  <c r="C16" i="3"/>
  <c r="M18" i="3"/>
  <c r="N18" i="3" s="1"/>
  <c r="C18" i="3"/>
  <c r="O18" i="3"/>
  <c r="P18" i="3" s="1"/>
  <c r="I18" i="3"/>
  <c r="J18" i="3" s="1"/>
  <c r="K18" i="3"/>
  <c r="L18" i="3" s="1"/>
  <c r="G18" i="3"/>
  <c r="H18" i="3" s="1"/>
  <c r="I17" i="10"/>
  <c r="J17" i="10" s="1"/>
  <c r="M16" i="10"/>
  <c r="C16" i="10"/>
  <c r="D16" i="10" s="1"/>
  <c r="G17" i="10"/>
  <c r="H17" i="10" s="1"/>
  <c r="O17" i="10"/>
  <c r="P17" i="10" s="1"/>
  <c r="G16" i="10"/>
  <c r="O16" i="10"/>
  <c r="K17" i="10"/>
  <c r="L17" i="10" s="1"/>
  <c r="M17" i="10"/>
  <c r="N17" i="10" s="1"/>
  <c r="I16" i="10"/>
  <c r="K16" i="10"/>
  <c r="C17" i="10"/>
  <c r="C6" i="12"/>
  <c r="K16" i="12" s="1"/>
  <c r="M16" i="3"/>
  <c r="O16" i="3"/>
  <c r="M17" i="3"/>
  <c r="N17" i="3" s="1"/>
  <c r="O17" i="3"/>
  <c r="P17" i="3" s="1"/>
  <c r="G17" i="3"/>
  <c r="H17" i="3" s="1"/>
  <c r="K17" i="3"/>
  <c r="L17" i="3" s="1"/>
  <c r="I16" i="3"/>
  <c r="G16" i="3"/>
  <c r="K16" i="3"/>
  <c r="I17" i="3"/>
  <c r="J17" i="3" s="1"/>
  <c r="C17" i="3"/>
  <c r="C6" i="9"/>
  <c r="C6" i="3"/>
  <c r="C6" i="11"/>
  <c r="C6" i="10"/>
  <c r="M16" i="12" l="1"/>
  <c r="I16" i="12"/>
  <c r="J16" i="12" s="1"/>
  <c r="L9" i="12" s="1"/>
  <c r="K8" i="9"/>
  <c r="C16" i="12"/>
  <c r="K9" i="9"/>
  <c r="D17" i="9"/>
  <c r="F17" i="9" s="1"/>
  <c r="E17" i="9"/>
  <c r="N16" i="9"/>
  <c r="L11" i="9" s="1"/>
  <c r="K11" i="9"/>
  <c r="K12" i="9"/>
  <c r="P16" i="9"/>
  <c r="L12" i="9" s="1"/>
  <c r="D16" i="9"/>
  <c r="K6" i="9"/>
  <c r="E16" i="9"/>
  <c r="L16" i="9"/>
  <c r="L10" i="9" s="1"/>
  <c r="K10" i="9"/>
  <c r="L16" i="11"/>
  <c r="L10" i="11" s="1"/>
  <c r="K10" i="11"/>
  <c r="K8" i="11"/>
  <c r="H16" i="11"/>
  <c r="L8" i="11" s="1"/>
  <c r="P16" i="11"/>
  <c r="L12" i="11" s="1"/>
  <c r="K12" i="11"/>
  <c r="J16" i="11"/>
  <c r="L9" i="11" s="1"/>
  <c r="K9" i="11"/>
  <c r="E17" i="11"/>
  <c r="D17" i="11"/>
  <c r="F17" i="11" s="1"/>
  <c r="K6" i="11"/>
  <c r="E16" i="11"/>
  <c r="D16" i="11"/>
  <c r="N16" i="11"/>
  <c r="L11" i="11" s="1"/>
  <c r="K11" i="11"/>
  <c r="E18" i="11"/>
  <c r="D18" i="11"/>
  <c r="F18" i="11" s="1"/>
  <c r="H16" i="12"/>
  <c r="L8" i="12" s="1"/>
  <c r="K8" i="12"/>
  <c r="P16" i="12"/>
  <c r="L12" i="12" s="1"/>
  <c r="K12" i="12"/>
  <c r="K6" i="10"/>
  <c r="K11" i="10"/>
  <c r="P16" i="10"/>
  <c r="L12" i="10" s="1"/>
  <c r="K12" i="10"/>
  <c r="H16" i="10"/>
  <c r="L8" i="10" s="1"/>
  <c r="K8" i="10"/>
  <c r="L16" i="10"/>
  <c r="L10" i="10" s="1"/>
  <c r="K10" i="10"/>
  <c r="J16" i="10"/>
  <c r="L9" i="10" s="1"/>
  <c r="K9" i="10"/>
  <c r="D19" i="3"/>
  <c r="F19" i="3" s="1"/>
  <c r="E19" i="3"/>
  <c r="E18" i="3"/>
  <c r="D18" i="3"/>
  <c r="F18" i="3" s="1"/>
  <c r="E17" i="10"/>
  <c r="D17" i="10"/>
  <c r="F17" i="10" s="1"/>
  <c r="E16" i="10"/>
  <c r="L16" i="3"/>
  <c r="L10" i="3" s="1"/>
  <c r="K10" i="3"/>
  <c r="H16" i="3"/>
  <c r="L8" i="3" s="1"/>
  <c r="K8" i="3"/>
  <c r="P16" i="3"/>
  <c r="L12" i="3" s="1"/>
  <c r="K12" i="3"/>
  <c r="J16" i="3"/>
  <c r="L9" i="3" s="1"/>
  <c r="K9" i="3"/>
  <c r="N16" i="3"/>
  <c r="L11" i="3" s="1"/>
  <c r="K11" i="3"/>
  <c r="K6" i="3"/>
  <c r="E17" i="3"/>
  <c r="D17" i="3"/>
  <c r="F17" i="3" s="1"/>
  <c r="E16" i="3"/>
  <c r="D16" i="3"/>
  <c r="H16" i="9"/>
  <c r="L8" i="9" s="1"/>
  <c r="J16" i="9"/>
  <c r="L9" i="9" s="1"/>
  <c r="N16" i="10"/>
  <c r="L11" i="10" s="1"/>
  <c r="P22" i="2" l="1"/>
  <c r="R22" i="2" s="1"/>
  <c r="P23" i="2"/>
  <c r="R23" i="2" s="1"/>
  <c r="P26" i="2"/>
  <c r="K7" i="9"/>
  <c r="K9" i="12"/>
  <c r="L6" i="9"/>
  <c r="F16" i="9"/>
  <c r="L7" i="9" s="1"/>
  <c r="K7" i="11"/>
  <c r="L6" i="11"/>
  <c r="F16" i="11"/>
  <c r="L7" i="11" s="1"/>
  <c r="D16" i="12"/>
  <c r="E16" i="12"/>
  <c r="K7" i="12" s="1"/>
  <c r="K6" i="12"/>
  <c r="N16" i="12"/>
  <c r="L11" i="12" s="1"/>
  <c r="K11" i="12"/>
  <c r="L16" i="12"/>
  <c r="L10" i="12" s="1"/>
  <c r="K10" i="12"/>
  <c r="L6" i="10"/>
  <c r="K7" i="10"/>
  <c r="F16" i="10"/>
  <c r="L7" i="10" s="1"/>
  <c r="F16" i="3"/>
  <c r="L7" i="3" s="1"/>
  <c r="L6" i="3"/>
  <c r="K7" i="3"/>
  <c r="P24" i="2" l="1"/>
  <c r="R24" i="2" s="1"/>
  <c r="P25" i="2"/>
  <c r="R25" i="2" s="1"/>
  <c r="F16" i="12"/>
  <c r="L7" i="12" s="1"/>
  <c r="P21" i="2" s="1"/>
  <c r="L6" i="12"/>
  <c r="R26" i="2"/>
  <c r="R21" i="2" l="1"/>
  <c r="P20" i="2"/>
  <c r="R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Dodge, Chloe</author>
  </authors>
  <commentList>
    <comment ref="I24" authorId="0" shapeId="0" xr:uid="{45503284-5994-4DAE-A18C-5E0C206A946F}">
      <text>
        <r>
          <rPr>
            <b/>
            <sz val="9"/>
            <color indexed="81"/>
            <rFont val="Tahoma"/>
            <family val="2"/>
          </rPr>
          <t>Dodge, Chloe:</t>
        </r>
        <r>
          <rPr>
            <sz val="9"/>
            <color indexed="81"/>
            <rFont val="Tahoma"/>
            <family val="2"/>
          </rPr>
          <t xml:space="preserve">
only EF for NOx, used AP-42 EFs for PM, VOCs, and CO</t>
        </r>
      </text>
    </comment>
    <comment ref="K24" authorId="0" shapeId="0" xr:uid="{C432EDDB-3F8D-4B09-93F3-F75D472FE437}">
      <text>
        <r>
          <rPr>
            <b/>
            <sz val="9"/>
            <color indexed="81"/>
            <rFont val="Tahoma"/>
            <family val="2"/>
          </rPr>
          <t>Dodge, Chloe:</t>
        </r>
        <r>
          <rPr>
            <sz val="9"/>
            <color indexed="81"/>
            <rFont val="Tahoma"/>
            <family val="2"/>
          </rPr>
          <t xml:space="preserve">
only EF for NOx, used AP-42 EFs for PM, VOCs, and 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Dodge, Chloe</author>
  </authors>
  <commentList>
    <comment ref="C24" authorId="0" shapeId="0" xr:uid="{6CFA0507-9EDB-4178-BCD0-4F616E846092}">
      <text>
        <r>
          <rPr>
            <b/>
            <sz val="9"/>
            <color indexed="81"/>
            <rFont val="Tahoma"/>
            <family val="2"/>
          </rPr>
          <t>Dodge, Chloe:</t>
        </r>
        <r>
          <rPr>
            <sz val="9"/>
            <color indexed="81"/>
            <rFont val="Tahoma"/>
            <family val="2"/>
          </rPr>
          <t xml:space="preserve">
There are no Tier 3 engines less than 50 hp, either Tier 2 or 4</t>
        </r>
      </text>
    </comment>
    <comment ref="I24" authorId="0" shapeId="0" xr:uid="{041552AA-A483-42CE-A81A-26B4B2F15926}">
      <text>
        <r>
          <rPr>
            <b/>
            <sz val="9"/>
            <color indexed="81"/>
            <rFont val="Tahoma"/>
            <family val="2"/>
          </rPr>
          <t>Dodge, Chloe:</t>
        </r>
        <r>
          <rPr>
            <sz val="9"/>
            <color indexed="81"/>
            <rFont val="Tahoma"/>
            <family val="2"/>
          </rPr>
          <t xml:space="preserve">
there are no Tier 3 engines greater than 750hp, either Tier 2 or Tier 4</t>
        </r>
      </text>
    </comment>
    <comment ref="H32" authorId="0" shapeId="0" xr:uid="{3B0AE3B7-DB33-45B9-AE45-70730D516F64}">
      <text>
        <r>
          <rPr>
            <b/>
            <sz val="9"/>
            <color indexed="81"/>
            <rFont val="Tahoma"/>
            <family val="2"/>
          </rPr>
          <t>Dodge, Chloe:</t>
        </r>
        <r>
          <rPr>
            <sz val="9"/>
            <color indexed="81"/>
            <rFont val="Tahoma"/>
            <family val="2"/>
          </rPr>
          <t xml:space="preserve">
for TOX, &lt;=600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Dodge, Chloe</author>
  </authors>
  <commentList>
    <comment ref="G24" authorId="0" shapeId="0" xr:uid="{72C35290-3CC3-4E95-99B0-18ECD5CFFD72}">
      <text>
        <r>
          <rPr>
            <b/>
            <sz val="9"/>
            <color indexed="81"/>
            <rFont val="Tahoma"/>
            <family val="2"/>
          </rPr>
          <t>Dodge, Chloe:</t>
        </r>
        <r>
          <rPr>
            <sz val="9"/>
            <color indexed="81"/>
            <rFont val="Tahoma"/>
            <family val="2"/>
          </rPr>
          <t xml:space="preserve">
used higher Tier 3 EF engines 50≤hp&lt;100 and 2008+</t>
        </r>
      </text>
    </comment>
    <comment ref="I24" authorId="0" shapeId="0" xr:uid="{5024BE93-A3BB-4781-8C9A-00A61F0804CF}">
      <text>
        <r>
          <rPr>
            <b/>
            <sz val="9"/>
            <color indexed="81"/>
            <rFont val="Tahoma"/>
            <family val="2"/>
          </rPr>
          <t>Dodge, Chloe:</t>
        </r>
        <r>
          <rPr>
            <sz val="9"/>
            <color indexed="81"/>
            <rFont val="Tahoma"/>
            <family val="2"/>
          </rPr>
          <t xml:space="preserve">
used higher Tier 3 EF for engines 50≤hp&lt;100 and 2008+</t>
        </r>
      </text>
    </comment>
    <comment ref="K24" authorId="0" shapeId="0" xr:uid="{D02CD1A3-3799-4393-AB29-11EE5D0D501C}">
      <text>
        <r>
          <rPr>
            <b/>
            <sz val="9"/>
            <color indexed="81"/>
            <rFont val="Tahoma"/>
            <family val="2"/>
          </rPr>
          <t>Dodge, Chloe:</t>
        </r>
        <r>
          <rPr>
            <sz val="9"/>
            <color indexed="81"/>
            <rFont val="Tahoma"/>
            <family val="2"/>
          </rPr>
          <t xml:space="preserve">
adjusted for Tier 3 engines 50≤hp&lt;75 and 2008-2012 (see Tier Determination sheet)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Dodge, Chloe</author>
  </authors>
  <commentList>
    <comment ref="U6" authorId="0" shapeId="0" xr:uid="{6D41AE84-DC6C-4C48-BF1D-9FACDC3FF3D2}">
      <text>
        <r>
          <rPr>
            <b/>
            <sz val="9"/>
            <color indexed="81"/>
            <rFont val="Tahoma"/>
            <family val="2"/>
          </rPr>
          <t>Dodge, Chloe:</t>
        </r>
        <r>
          <rPr>
            <sz val="9"/>
            <color indexed="81"/>
            <rFont val="Tahoma"/>
            <family val="2"/>
          </rPr>
          <t xml:space="preserve">
assume higher EF between T3 &amp; T4 - make these models T3</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<sst xmlns="http://schemas.openxmlformats.org/spreadsheetml/2006/main" count="716" uniqueCount="209">
  <si>
    <t xml:space="preserve">Company: </t>
  </si>
  <si>
    <t>Permit Number:</t>
  </si>
  <si>
    <t>Facility:</t>
  </si>
  <si>
    <t>Facility UTM Coordinaates:</t>
  </si>
  <si>
    <t>Address:</t>
  </si>
  <si>
    <t>Emissions Limits</t>
  </si>
  <si>
    <t>Calendar Year Actual Emissions</t>
  </si>
  <si>
    <t>(tons/year)</t>
  </si>
  <si>
    <t>VOC</t>
  </si>
  <si>
    <t>Pollutant</t>
  </si>
  <si>
    <t>Calendar Year Emissions</t>
  </si>
  <si>
    <t>lb/gal</t>
  </si>
  <si>
    <t>(ton/yr)</t>
  </si>
  <si>
    <t>Tier 3</t>
  </si>
  <si>
    <t>Tier 4</t>
  </si>
  <si>
    <t>Tier</t>
  </si>
  <si>
    <t>Year of Manufacture</t>
  </si>
  <si>
    <t>g/hp-hr</t>
  </si>
  <si>
    <r>
      <t>PM</t>
    </r>
    <r>
      <rPr>
        <b/>
        <vertAlign val="subscript"/>
        <sz val="11"/>
        <color theme="1"/>
        <rFont val="Aptos Narrow"/>
        <family val="2"/>
        <scheme val="minor"/>
      </rPr>
      <t>10</t>
    </r>
  </si>
  <si>
    <r>
      <t>PM</t>
    </r>
    <r>
      <rPr>
        <b/>
        <vertAlign val="subscript"/>
        <sz val="11"/>
        <color theme="1"/>
        <rFont val="Aptos Narrow"/>
        <family val="2"/>
        <scheme val="minor"/>
      </rPr>
      <t>2.5</t>
    </r>
  </si>
  <si>
    <t>NOx</t>
  </si>
  <si>
    <t>VOCs</t>
  </si>
  <si>
    <t>CO</t>
  </si>
  <si>
    <t>TOXs</t>
  </si>
  <si>
    <t>PM10</t>
  </si>
  <si>
    <t>PM2.5</t>
  </si>
  <si>
    <t>SO2</t>
  </si>
  <si>
    <t>lb/ton</t>
  </si>
  <si>
    <t>g/lb</t>
  </si>
  <si>
    <t>lb/hr</t>
  </si>
  <si>
    <t>EF (g/hp-hr)*power(hp)/constant(g/lb)</t>
  </si>
  <si>
    <t>(lb/hr)</t>
  </si>
  <si>
    <t>tpy</t>
  </si>
  <si>
    <t>lb/hr rate*hr/yr/2000 lb/ton</t>
  </si>
  <si>
    <t xml:space="preserve">NOx </t>
  </si>
  <si>
    <t>Y</t>
  </si>
  <si>
    <t>N</t>
  </si>
  <si>
    <t>Tier 1 - A</t>
  </si>
  <si>
    <t>Tier 0 - A</t>
  </si>
  <si>
    <t>Engine A</t>
  </si>
  <si>
    <t>Engine B</t>
  </si>
  <si>
    <t>Engine C</t>
  </si>
  <si>
    <t>B</t>
  </si>
  <si>
    <t>C</t>
  </si>
  <si>
    <t>Constants</t>
  </si>
  <si>
    <t>2015+</t>
  </si>
  <si>
    <t>gen</t>
  </si>
  <si>
    <t>no gen</t>
  </si>
  <si>
    <t>EF</t>
  </si>
  <si>
    <t>Engine 1</t>
  </si>
  <si>
    <t>Engine 2</t>
  </si>
  <si>
    <t>Engine 3</t>
  </si>
  <si>
    <t>Engine 4</t>
  </si>
  <si>
    <t>Engine 5</t>
  </si>
  <si>
    <t>Engine 6</t>
  </si>
  <si>
    <t>Engine 7</t>
  </si>
  <si>
    <t>Engine 8</t>
  </si>
  <si>
    <t>Engine 9</t>
  </si>
  <si>
    <t>Engine 10</t>
  </si>
  <si>
    <t>Engine 11</t>
  </si>
  <si>
    <t>Engine 12</t>
  </si>
  <si>
    <t>Engine 13</t>
  </si>
  <si>
    <t>Engine 14</t>
  </si>
  <si>
    <t>Engine 15</t>
  </si>
  <si>
    <t>Gen Set?</t>
  </si>
  <si>
    <t>Hours per year</t>
  </si>
  <si>
    <t>Convert kilowatts to horsepower:</t>
  </si>
  <si>
    <t>kW</t>
  </si>
  <si>
    <t>hp</t>
  </si>
  <si>
    <t>Date:</t>
  </si>
  <si>
    <t>REFERENCES</t>
  </si>
  <si>
    <t>lb/mmBTU</t>
  </si>
  <si>
    <t>Benzene</t>
  </si>
  <si>
    <t>Toluene</t>
  </si>
  <si>
    <t>Xylenes</t>
  </si>
  <si>
    <t>1,3 - Butadiene</t>
  </si>
  <si>
    <t>Formaldehyde</t>
  </si>
  <si>
    <t>Acetaldehyde</t>
  </si>
  <si>
    <t>Acrolein</t>
  </si>
  <si>
    <t>TOX &lt;600hp</t>
  </si>
  <si>
    <t>TOX &gt;600hp</t>
  </si>
  <si>
    <t>Btu/gal</t>
  </si>
  <si>
    <t>Equations</t>
  </si>
  <si>
    <t>Tier 1-4, https://dieselnet.com/standards/us/nonroad.php#tier3</t>
  </si>
  <si>
    <t>Total PAH</t>
  </si>
  <si>
    <t>Emission Factors - Tier 0</t>
  </si>
  <si>
    <t>Emission Factors - Tier 2</t>
  </si>
  <si>
    <t>Tier 2 - A</t>
  </si>
  <si>
    <t>Tier 3 - A</t>
  </si>
  <si>
    <t>Tier 4 - A</t>
  </si>
  <si>
    <t>Monthly Tracker</t>
  </si>
  <si>
    <t>Hours of Operation</t>
  </si>
  <si>
    <t>January</t>
  </si>
  <si>
    <t>February</t>
  </si>
  <si>
    <t>March</t>
  </si>
  <si>
    <t>April</t>
  </si>
  <si>
    <t>May</t>
  </si>
  <si>
    <t>June</t>
  </si>
  <si>
    <t>July</t>
  </si>
  <si>
    <t>August</t>
  </si>
  <si>
    <t>September</t>
  </si>
  <si>
    <t>October</t>
  </si>
  <si>
    <t>November</t>
  </si>
  <si>
    <t>December</t>
  </si>
  <si>
    <t>Rolling Total</t>
  </si>
  <si>
    <t>Emission Factors - Tier 4</t>
  </si>
  <si>
    <t>both</t>
  </si>
  <si>
    <t>hp&lt;11</t>
  </si>
  <si>
    <t>Emission Factors - Tier 1</t>
  </si>
  <si>
    <t>D</t>
  </si>
  <si>
    <t>E</t>
  </si>
  <si>
    <t>F</t>
  </si>
  <si>
    <t>Engine D</t>
  </si>
  <si>
    <t>Engine E</t>
  </si>
  <si>
    <t>Engine F</t>
  </si>
  <si>
    <r>
      <t>11</t>
    </r>
    <r>
      <rPr>
        <b/>
        <sz val="11"/>
        <color theme="1"/>
        <rFont val="Aptos Narrow"/>
        <family val="2"/>
      </rPr>
      <t>≤</t>
    </r>
    <r>
      <rPr>
        <b/>
        <sz val="11"/>
        <color theme="1"/>
        <rFont val="Aptos Narrow"/>
        <family val="2"/>
        <scheme val="minor"/>
      </rPr>
      <t>hp&lt;25</t>
    </r>
  </si>
  <si>
    <r>
      <rPr>
        <b/>
        <sz val="11"/>
        <color theme="1"/>
        <rFont val="Aptos Narrow"/>
        <family val="2"/>
      </rPr>
      <t>25≤</t>
    </r>
    <r>
      <rPr>
        <b/>
        <sz val="11"/>
        <color theme="1"/>
        <rFont val="Aptos Narrow"/>
        <family val="2"/>
        <scheme val="minor"/>
      </rPr>
      <t>hp&lt;50</t>
    </r>
  </si>
  <si>
    <r>
      <rPr>
        <b/>
        <sz val="11"/>
        <color theme="1"/>
        <rFont val="Aptos Narrow"/>
        <family val="2"/>
      </rPr>
      <t>50≤</t>
    </r>
    <r>
      <rPr>
        <b/>
        <sz val="11"/>
        <color theme="1"/>
        <rFont val="Aptos Narrow"/>
        <family val="2"/>
        <scheme val="minor"/>
      </rPr>
      <t>hp&lt;100</t>
    </r>
  </si>
  <si>
    <r>
      <rPr>
        <b/>
        <sz val="11"/>
        <color theme="1"/>
        <rFont val="Aptos Narrow"/>
        <family val="2"/>
      </rPr>
      <t>100≤</t>
    </r>
    <r>
      <rPr>
        <b/>
        <sz val="11"/>
        <color theme="1"/>
        <rFont val="Aptos Narrow"/>
        <family val="2"/>
        <scheme val="minor"/>
      </rPr>
      <t>hp&lt;175</t>
    </r>
  </si>
  <si>
    <r>
      <rPr>
        <b/>
        <sz val="11"/>
        <color theme="1"/>
        <rFont val="Aptos Narrow"/>
        <family val="2"/>
      </rPr>
      <t>175≤</t>
    </r>
    <r>
      <rPr>
        <b/>
        <sz val="11"/>
        <color theme="1"/>
        <rFont val="Aptos Narrow"/>
        <family val="2"/>
        <scheme val="minor"/>
      </rPr>
      <t>hp</t>
    </r>
    <r>
      <rPr>
        <b/>
        <sz val="11"/>
        <color theme="1"/>
        <rFont val="Aptos Narrow"/>
        <family val="2"/>
      </rPr>
      <t>≤</t>
    </r>
    <r>
      <rPr>
        <b/>
        <sz val="11"/>
        <color theme="1"/>
        <rFont val="Aptos Narrow"/>
        <family val="2"/>
        <scheme val="minor"/>
      </rPr>
      <t>600</t>
    </r>
  </si>
  <si>
    <r>
      <rPr>
        <b/>
        <sz val="11"/>
        <color theme="1"/>
        <rFont val="Aptos Narrow"/>
        <family val="2"/>
      </rPr>
      <t>600&lt;</t>
    </r>
    <r>
      <rPr>
        <b/>
        <sz val="11"/>
        <color theme="1"/>
        <rFont val="Aptos Narrow"/>
        <family val="2"/>
        <scheme val="minor"/>
      </rPr>
      <t>hp</t>
    </r>
  </si>
  <si>
    <t>SO2&amp;TOX: fuel(gal/yr)/(hr/yr)*EF(lb/gal)</t>
  </si>
  <si>
    <t>300≤hp&lt;600</t>
  </si>
  <si>
    <t>11≤hp&lt;25</t>
  </si>
  <si>
    <t>25≤hp&lt;50</t>
  </si>
  <si>
    <t>50≤hp&lt;100</t>
  </si>
  <si>
    <t>100≤hp&lt;175</t>
  </si>
  <si>
    <t>175≤hp&lt;300</t>
  </si>
  <si>
    <t>600≤hp&lt;750</t>
  </si>
  <si>
    <t>750≤hp</t>
  </si>
  <si>
    <r>
      <t xml:space="preserve">Engine Power </t>
    </r>
    <r>
      <rPr>
        <b/>
        <i/>
        <sz val="11"/>
        <color theme="1"/>
        <rFont val="Aptos Narrow"/>
        <family val="2"/>
        <scheme val="minor"/>
      </rPr>
      <t>(hp)</t>
    </r>
  </si>
  <si>
    <r>
      <t xml:space="preserve">Fuel Usage </t>
    </r>
    <r>
      <rPr>
        <b/>
        <i/>
        <sz val="11"/>
        <color theme="1"/>
        <rFont val="Aptos Narrow"/>
        <family val="2"/>
        <scheme val="minor"/>
      </rPr>
      <t>(gal/yr)</t>
    </r>
  </si>
  <si>
    <r>
      <t xml:space="preserve">Engine Power </t>
    </r>
    <r>
      <rPr>
        <b/>
        <i/>
        <sz val="11"/>
        <color theme="1"/>
        <rFont val="Times New Roman"/>
        <family val="1"/>
      </rPr>
      <t>(hp)</t>
    </r>
  </si>
  <si>
    <r>
      <t xml:space="preserve">Fuel Usage </t>
    </r>
    <r>
      <rPr>
        <b/>
        <i/>
        <sz val="11"/>
        <color theme="1"/>
        <rFont val="Times New Roman"/>
        <family val="1"/>
      </rPr>
      <t>(gallons per year)</t>
    </r>
  </si>
  <si>
    <r>
      <t xml:space="preserve">Hours of Operation </t>
    </r>
    <r>
      <rPr>
        <b/>
        <i/>
        <sz val="11"/>
        <color theme="1"/>
        <rFont val="Times New Roman"/>
        <family val="1"/>
      </rPr>
      <t>(annual)</t>
    </r>
  </si>
  <si>
    <r>
      <t xml:space="preserve">Generator Set?        </t>
    </r>
    <r>
      <rPr>
        <b/>
        <i/>
        <sz val="11"/>
        <color theme="1"/>
        <rFont val="Times New Roman"/>
        <family val="1"/>
      </rPr>
      <t>(Y or N)</t>
    </r>
  </si>
  <si>
    <t>Emission Factors - Tier 3</t>
  </si>
  <si>
    <t>175≤hp&lt;600</t>
  </si>
  <si>
    <t>Tier 1</t>
  </si>
  <si>
    <t>Tier 2</t>
  </si>
  <si>
    <r>
      <t>25</t>
    </r>
    <r>
      <rPr>
        <sz val="11"/>
        <color theme="1"/>
        <rFont val="Aptos Narrow"/>
        <family val="2"/>
      </rPr>
      <t>≤hp&lt;50</t>
    </r>
  </si>
  <si>
    <r>
      <t>50</t>
    </r>
    <r>
      <rPr>
        <sz val="11"/>
        <color theme="1"/>
        <rFont val="Aptos Narrow"/>
        <family val="2"/>
      </rPr>
      <t>≤hp&lt;100</t>
    </r>
  </si>
  <si>
    <r>
      <t>100</t>
    </r>
    <r>
      <rPr>
        <sz val="11"/>
        <color theme="1"/>
        <rFont val="Aptos Narrow"/>
        <family val="2"/>
      </rPr>
      <t>≤hp&lt;175</t>
    </r>
  </si>
  <si>
    <t>2008-2012</t>
  </si>
  <si>
    <t>2013+</t>
  </si>
  <si>
    <t>2011-2014</t>
  </si>
  <si>
    <t>Applicable?</t>
  </si>
  <si>
    <t>175≤hp≤600</t>
  </si>
  <si>
    <t>750&lt;hp</t>
  </si>
  <si>
    <t>600&lt;hp≤750</t>
  </si>
  <si>
    <t>EF Determination (engines &gt; 750hp)</t>
  </si>
  <si>
    <t>Engine</t>
  </si>
  <si>
    <t>A</t>
  </si>
  <si>
    <r>
      <t>175</t>
    </r>
    <r>
      <rPr>
        <sz val="11"/>
        <color theme="1"/>
        <rFont val="Aptos Narrow"/>
        <family val="2"/>
      </rPr>
      <t>≤hp&lt;300</t>
    </r>
  </si>
  <si>
    <r>
      <t>600</t>
    </r>
    <r>
      <rPr>
        <sz val="11"/>
        <color theme="1"/>
        <rFont val="Aptos Narrow"/>
        <family val="2"/>
      </rPr>
      <t>≤hp&lt;750</t>
    </r>
  </si>
  <si>
    <t>Starting year</t>
  </si>
  <si>
    <t>Ending year</t>
  </si>
  <si>
    <t>2008, 2013</t>
  </si>
  <si>
    <t>2011, 2015</t>
  </si>
  <si>
    <t>Pre 1996</t>
  </si>
  <si>
    <t>Post 2015</t>
  </si>
  <si>
    <r>
      <t>25</t>
    </r>
    <r>
      <rPr>
        <b/>
        <sz val="11"/>
        <color theme="1"/>
        <rFont val="Aptos Narrow"/>
        <family val="2"/>
      </rPr>
      <t>≤hp&lt;50</t>
    </r>
  </si>
  <si>
    <r>
      <t>100</t>
    </r>
    <r>
      <rPr>
        <b/>
        <sz val="11"/>
        <color theme="1"/>
        <rFont val="Aptos Narrow"/>
        <family val="2"/>
      </rPr>
      <t>≤hp&lt;175</t>
    </r>
  </si>
  <si>
    <r>
      <t>175</t>
    </r>
    <r>
      <rPr>
        <b/>
        <sz val="11"/>
        <color theme="1"/>
        <rFont val="Aptos Narrow"/>
        <family val="2"/>
      </rPr>
      <t>≤hp&lt;300</t>
    </r>
  </si>
  <si>
    <r>
      <t>600</t>
    </r>
    <r>
      <rPr>
        <b/>
        <sz val="11"/>
        <color theme="1"/>
        <rFont val="Aptos Narrow"/>
        <family val="2"/>
      </rPr>
      <t>≤hp&lt;750</t>
    </r>
  </si>
  <si>
    <t xml:space="preserve">Tier 0 </t>
  </si>
  <si>
    <r>
      <t>50</t>
    </r>
    <r>
      <rPr>
        <b/>
        <sz val="11"/>
        <color theme="1"/>
        <rFont val="Aptos Narrow"/>
        <family val="2"/>
      </rPr>
      <t>≤hp&lt;75</t>
    </r>
  </si>
  <si>
    <t>75≤hp&lt;100</t>
  </si>
  <si>
    <t>T4</t>
  </si>
  <si>
    <t>T1-3</t>
  </si>
  <si>
    <t>overlap between T3 and T4</t>
  </si>
  <si>
    <r>
      <t>50</t>
    </r>
    <r>
      <rPr>
        <sz val="11"/>
        <color theme="1"/>
        <rFont val="Aptos Narrow"/>
        <family val="2"/>
      </rPr>
      <t>≤hp&lt;75</t>
    </r>
  </si>
  <si>
    <r>
      <t>75</t>
    </r>
    <r>
      <rPr>
        <sz val="11"/>
        <color theme="1"/>
        <rFont val="Aptos Narrow"/>
        <family val="2"/>
      </rPr>
      <t>≤hp&lt;175</t>
    </r>
  </si>
  <si>
    <r>
      <rPr>
        <sz val="11"/>
        <color rgb="FFC49BDD"/>
        <rFont val="Aptos Narrow"/>
        <family val="2"/>
        <scheme val="minor"/>
      </rPr>
      <t>IF(OR(AND(F31&lt;25,E31&gt;1999,E31&lt;2005),AND(F31&gt;=25,F31&lt;50,E31&gt;1998,E31&lt;2004),AND(F31&gt;=50,F31&lt;100,E31&gt;1997,E31&lt;2004),AND(F31&gt;=100,F31&lt;175,E31&gt;1996,E31&lt;2003),AND(F31&gt;=175,F31&lt;300,E31&gt;1995,E31&lt;2003),AND(F31&gt;=300,F31&lt;600,E31&gt;1995,E31&lt;2001),AND(F31&gt;=600,F31&lt;750,E31&gt;1995,E31&lt;2002),AND(F31&gt;=750,E31&gt;1999,E31&lt;2006)),"Tier 1"</t>
    </r>
    <r>
      <rPr>
        <sz val="11"/>
        <color theme="1"/>
        <rFont val="Aptos Narrow"/>
        <family val="2"/>
        <scheme val="minor"/>
      </rPr>
      <t>,</t>
    </r>
    <r>
      <rPr>
        <sz val="11"/>
        <color rgb="FFA567CB"/>
        <rFont val="Aptos Narrow"/>
        <family val="2"/>
        <scheme val="minor"/>
      </rPr>
      <t>IF(OR(AND(F31&lt;25,E31&gt;2004,E31&lt;2008),AND(F31&gt;=25,F31&lt;100,E31&gt;2003,E31&lt;2008),AND(F31&gt;=100,F31&lt;175,E31&gt;2002,E31&lt;2007),AND(F31&gt;=175,F31&lt;300,E31&gt;2002,E31&lt;2006),AND(F31&gt;=300,F31&lt;600,E31&gt;2000,E31&lt;2006),AND(F31&gt;=600,F31&lt;750,E31&gt;2001,E31&lt;2006),AND(F31&gt;=750,E31&gt;2005,E31&lt;2011)),"Tier 2"</t>
    </r>
    <r>
      <rPr>
        <sz val="11"/>
        <color theme="1"/>
        <rFont val="Aptos Narrow"/>
        <family val="2"/>
        <scheme val="minor"/>
      </rPr>
      <t>,</t>
    </r>
    <r>
      <rPr>
        <sz val="11"/>
        <color rgb="FF77379F"/>
        <rFont val="Aptos Narrow"/>
        <family val="2"/>
        <scheme val="minor"/>
      </rPr>
      <t>IF(OR(AND(F31&gt;=50,F31&lt;75,E31&gt;2007,E31&lt;2013),</t>
    </r>
    <r>
      <rPr>
        <sz val="11"/>
        <color rgb="FFFF0000"/>
        <rFont val="Aptos Narrow"/>
        <family val="2"/>
        <scheme val="minor"/>
      </rPr>
      <t>AND(F31&gt;=75,F31&lt;100,E31&gt;2007,E31&lt;2012)</t>
    </r>
    <r>
      <rPr>
        <sz val="11"/>
        <color rgb="FF77379F"/>
        <rFont val="Aptos Narrow"/>
        <family val="2"/>
        <scheme val="minor"/>
      </rPr>
      <t>,AND(F31&gt;=100,F31&lt;175,E31&gt;2006,E31&lt;2012),AND(F31&gt;=175,F31&lt;750,E31&gt;2005,E31&lt;2011)),"Tier 3"</t>
    </r>
    <r>
      <rPr>
        <sz val="11"/>
        <color theme="1"/>
        <rFont val="Aptos Narrow"/>
        <family val="2"/>
        <scheme val="minor"/>
      </rPr>
      <t>,</t>
    </r>
    <r>
      <rPr>
        <sz val="11"/>
        <color rgb="FF4A2263"/>
        <rFont val="Aptos Narrow"/>
        <family val="2"/>
        <scheme val="minor"/>
      </rPr>
      <t>IF(OR(AND(F31&lt;50,E31&gt;2007),AND(F31&gt;=50,F31&lt;75,E31&gt;2012),AND(F31&gt;=75,F31&lt;175,E31&gt;2011),AND(F31&gt;=175,E31&gt;2010)),"Tier 4"</t>
    </r>
    <r>
      <rPr>
        <sz val="11"/>
        <color theme="1"/>
        <rFont val="Aptos Narrow"/>
        <family val="2"/>
        <scheme val="minor"/>
      </rPr>
      <t>,IF(OR(E31="",F31=""),"",</t>
    </r>
    <r>
      <rPr>
        <sz val="11"/>
        <color rgb="FFDFC9ED"/>
        <rFont val="Aptos Narrow"/>
        <family val="2"/>
        <scheme val="minor"/>
      </rPr>
      <t>"Tier 0"</t>
    </r>
    <r>
      <rPr>
        <sz val="11"/>
        <color theme="1"/>
        <rFont val="Aptos Narrow"/>
        <family val="2"/>
        <scheme val="minor"/>
      </rPr>
      <t>)))))</t>
    </r>
  </si>
  <si>
    <t>Test:</t>
  </si>
  <si>
    <t>year</t>
  </si>
  <si>
    <t>tier</t>
  </si>
  <si>
    <t>https://dieselnet.com/standards/us/nonroad.php</t>
  </si>
  <si>
    <r>
      <rPr>
        <b/>
        <sz val="11"/>
        <color theme="1"/>
        <rFont val="Aptos Narrow"/>
        <family val="2"/>
      </rPr>
      <t>hp≤</t>
    </r>
    <r>
      <rPr>
        <b/>
        <sz val="11"/>
        <color theme="1"/>
        <rFont val="Aptos Narrow"/>
        <family val="2"/>
        <scheme val="minor"/>
      </rPr>
      <t>600</t>
    </r>
  </si>
  <si>
    <t>600&lt;hp</t>
  </si>
  <si>
    <t>Tier 0-4 SOx, https://ndep.nv.gov/uploads/air-aqm-docs/FAQs_for_IC_Engines.pdf</t>
  </si>
  <si>
    <t>Tier 0, AP42 Table 3.3-1&amp;2 and AP42 Table 3.4-1&amp;2&amp;3, VOCs assumed to be equal to TOCs</t>
  </si>
  <si>
    <t>Tier 0-4 TOX, AP42 Table 3.3-2 and AP42 Table 3.4-3</t>
  </si>
  <si>
    <r>
      <t>Tier 4 (2</t>
    </r>
    <r>
      <rPr>
        <b/>
        <sz val="11"/>
        <color theme="0"/>
        <rFont val="Aptos Narrow"/>
        <family val="2"/>
      </rPr>
      <t>˚</t>
    </r>
    <r>
      <rPr>
        <b/>
        <sz val="11"/>
        <color theme="0"/>
        <rFont val="Aptos Narrow"/>
        <family val="2"/>
        <scheme val="minor"/>
      </rPr>
      <t>)</t>
    </r>
  </si>
  <si>
    <t>Engine 16</t>
  </si>
  <si>
    <t>Engine 17</t>
  </si>
  <si>
    <t>Engine 18</t>
  </si>
  <si>
    <t>Engine 19</t>
  </si>
  <si>
    <t>Engine 20</t>
  </si>
  <si>
    <t>Engine 21</t>
  </si>
  <si>
    <t>Engine 22</t>
  </si>
  <si>
    <t>Engine 23</t>
  </si>
  <si>
    <t>Engine 24</t>
  </si>
  <si>
    <t>Engine 25</t>
  </si>
  <si>
    <t>Engine 26</t>
  </si>
  <si>
    <t>Engine 27</t>
  </si>
  <si>
    <t>Engine 28</t>
  </si>
  <si>
    <t>Engine 29</t>
  </si>
  <si>
    <t>Engine 30</t>
  </si>
  <si>
    <r>
      <t xml:space="preserve">Fuel Usage </t>
    </r>
    <r>
      <rPr>
        <b/>
        <i/>
        <sz val="11"/>
        <color theme="1"/>
        <rFont val="Times New Roman"/>
        <family val="1"/>
      </rPr>
      <t>(gallons)</t>
    </r>
  </si>
  <si>
    <r>
      <rPr>
        <b/>
        <sz val="11"/>
        <color theme="1"/>
        <rFont val="Aptos Narrow"/>
        <family val="2"/>
        <scheme val="minor"/>
      </rPr>
      <t>Step 2</t>
    </r>
    <r>
      <rPr>
        <sz val="11"/>
        <color theme="1"/>
        <rFont val="Aptos Narrow"/>
        <family val="2"/>
        <scheme val="minor"/>
      </rPr>
      <t>: Fill in the fuel usage and hours of operation for each engine in the "</t>
    </r>
    <r>
      <rPr>
        <b/>
        <sz val="11"/>
        <color theme="1"/>
        <rFont val="Aptos Narrow"/>
        <family val="2"/>
        <scheme val="minor"/>
      </rPr>
      <t xml:space="preserve">Monthly Tracker" </t>
    </r>
    <r>
      <rPr>
        <sz val="11"/>
        <color theme="1"/>
        <rFont val="Aptos Narrow"/>
        <family val="2"/>
        <scheme val="minor"/>
      </rPr>
      <t>sheet.</t>
    </r>
  </si>
  <si>
    <t>75≤hp&lt;175</t>
  </si>
  <si>
    <t>Enter the fuel usage and hours of operation in the blue cells for each engine. The totals will be automatically calculated.</t>
  </si>
  <si>
    <r>
      <rPr>
        <b/>
        <sz val="11"/>
        <color theme="1"/>
        <rFont val="Aptos Narrow"/>
        <family val="2"/>
        <scheme val="minor"/>
      </rPr>
      <t>Step 1</t>
    </r>
    <r>
      <rPr>
        <sz val="11"/>
        <color theme="1"/>
        <rFont val="Aptos Narrow"/>
        <family val="2"/>
        <scheme val="minor"/>
      </rPr>
      <t>: Fill in the year of manufacture, engine power (in horsepower) and generator set information for each engine below.</t>
    </r>
  </si>
  <si>
    <t>*NOTE* this spreadsheet will only support calculations for up to (6) engines in each Tier</t>
  </si>
  <si>
    <r>
      <rPr>
        <b/>
        <sz val="11"/>
        <color theme="1"/>
        <rFont val="Aptos Narrow"/>
        <family val="2"/>
        <scheme val="minor"/>
      </rPr>
      <t>Step 3</t>
    </r>
    <r>
      <rPr>
        <sz val="11"/>
        <color theme="1"/>
        <rFont val="Aptos Narrow"/>
        <family val="2"/>
        <scheme val="minor"/>
      </rPr>
      <t>: Fill in the facility emissions limits from the Permit to Operate/Construct.</t>
    </r>
  </si>
  <si>
    <r>
      <t xml:space="preserve">This spreadsheet will calculate actual criteria pollutant emissions to demonstrate compliance with the emissions limits of the Permit to Construct/Operate. 
Engine year of manufacture, power (in horsepower), fuel usage (in gallons per year), annual hours of operation, and generator set information is required. 
</t>
    </r>
    <r>
      <rPr>
        <b/>
        <sz val="12"/>
        <color theme="1"/>
        <rFont val="Aptos Narrow"/>
        <family val="2"/>
        <scheme val="minor"/>
      </rPr>
      <t>Fill in blue-colored cells of the "Emissions" and "Monthly Tracker" sheets only</t>
    </r>
    <r>
      <rPr>
        <sz val="12"/>
        <color theme="1"/>
        <rFont val="Aptos Narrow"/>
        <family val="2"/>
        <scheme val="minor"/>
      </rPr>
      <t>; filled cells will turn white to signify data has been entered. Please note the unit of measure required for each cell. 
The calendar yearly emissions will be calculated automatically and shown in the summary below. If you use unique engine identifiers, the first column of the table is available to edit to add the ID's.</t>
    </r>
  </si>
  <si>
    <t>Engines Emissions Inventory</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</si>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</sst>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0000000000"/>
    <numFmt numFmtId="165" formatCode="0.000E+00"/>
  </numFmts>
  <fonts count="33" x14ac:knownFonts="1">
    <font>
      <sz val="11"/>
      <color theme="1"/>
      <name val="Aptos Narrow"/>
      <family val="2"/>
      <scheme val="minor"/>
    </font>
    <font>
      <sz val="11"/>
      <color theme="1"/>
      <name val="Aptos Narrow"/>
      <family val="2"/>
      <scheme val="minor"/>
    </font>
    <font>
      <b/>
      <sz val="11"/>
      <color theme="1"/>
      <name val="Times New Roman"/>
      <family val="1"/>
    </font>
    <font>
      <sz val="11"/>
      <color theme="1"/>
      <name val="Times New Roman"/>
      <family val="1"/>
    </font>
    <font>
      <b/>
      <sz val="11"/>
      <color theme="1"/>
      <name val="Aptos Narrow"/>
      <family val="2"/>
      <scheme val="minor"/>
    </font>
    <font>
      <sz val="11"/>
      <color theme="0"/>
      <name val="Aptos Narrow"/>
      <family val="2"/>
      <scheme val="minor"/>
    </font>
    <font>
      <i/>
      <sz val="11"/>
      <color theme="1"/>
      <name val="Aptos Narrow"/>
      <family val="2"/>
      <scheme val="minor"/>
    </font>
    <font>
      <b/>
      <vertAlign val="subscript"/>
      <sz val="11"/>
      <color theme="1"/>
      <name val="Aptos Narrow"/>
      <family val="2"/>
      <scheme val="minor"/>
    </font>
    <font>
      <sz val="11"/>
      <color rgb="FF000000"/>
      <name val="Calibri"/>
      <family val="2"/>
    </font>
    <font>
      <sz val="8"/>
      <name val="Aptos Narrow"/>
      <family val="2"/>
      <scheme val="minor"/>
    </font>
    <font>
      <b/>
      <sz val="11"/>
      <color theme="1"/>
      <name val="Aptos Narrow"/>
      <family val="2"/>
    </font>
    <font>
      <sz val="9"/>
      <color indexed="81"/>
      <name val="Tahoma"/>
      <family val="2"/>
    </font>
    <font>
      <b/>
      <sz val="9"/>
      <color indexed="81"/>
      <name val="Tahoma"/>
      <family val="2"/>
    </font>
    <font>
      <sz val="12"/>
      <color theme="1"/>
      <name val="Calibri"/>
      <family val="2"/>
    </font>
    <font>
      <sz val="11"/>
      <color rgb="FF000000"/>
      <name val="Aptos Narrow"/>
      <family val="2"/>
      <scheme val="minor"/>
    </font>
    <font>
      <b/>
      <sz val="11"/>
      <color rgb="FF000000"/>
      <name val="Aptos Narrow"/>
      <family val="2"/>
      <scheme val="minor"/>
    </font>
    <font>
      <b/>
      <sz val="11"/>
      <color theme="0"/>
      <name val="Aptos Narrow"/>
      <family val="2"/>
      <scheme val="minor"/>
    </font>
    <font>
      <b/>
      <sz val="11"/>
      <color theme="0"/>
      <name val="Times New Roman"/>
      <family val="1"/>
    </font>
    <font>
      <b/>
      <sz val="11"/>
      <color rgb="FF283580"/>
      <name val="Times New Roman"/>
      <family val="1"/>
    </font>
    <font>
      <sz val="12"/>
      <color theme="1"/>
      <name val="Aptos Narrow"/>
      <family val="2"/>
      <scheme val="minor"/>
    </font>
    <font>
      <b/>
      <sz val="11"/>
      <name val="Aptos Narrow"/>
      <family val="2"/>
      <scheme val="minor"/>
    </font>
    <font>
      <sz val="11"/>
      <color theme="1"/>
      <name val="Aptos Narrow"/>
      <family val="2"/>
    </font>
    <font>
      <b/>
      <i/>
      <sz val="11"/>
      <color theme="1"/>
      <name val="Aptos Narrow"/>
      <family val="2"/>
      <scheme val="minor"/>
    </font>
    <font>
      <b/>
      <i/>
      <sz val="11"/>
      <color theme="1"/>
      <name val="Times New Roman"/>
      <family val="1"/>
    </font>
    <font>
      <strike/>
      <sz val="11"/>
      <color theme="1"/>
      <name val="Aptos Narrow"/>
      <family val="2"/>
      <scheme val="minor"/>
    </font>
    <font>
      <sz val="11"/>
      <color rgb="FFFF0000"/>
      <name val="Aptos Narrow"/>
      <family val="2"/>
      <scheme val="minor"/>
    </font>
    <font>
      <sz val="11"/>
      <color rgb="FFDFC9ED"/>
      <name val="Aptos Narrow"/>
      <family val="2"/>
      <scheme val="minor"/>
    </font>
    <font>
      <sz val="11"/>
      <color rgb="FFC49BDD"/>
      <name val="Aptos Narrow"/>
      <family val="2"/>
      <scheme val="minor"/>
    </font>
    <font>
      <sz val="11"/>
      <color rgb="FF4A2263"/>
      <name val="Aptos Narrow"/>
      <family val="2"/>
      <scheme val="minor"/>
    </font>
    <font>
      <sz val="11"/>
      <color rgb="FFA567CB"/>
      <name val="Aptos Narrow"/>
      <family val="2"/>
      <scheme val="minor"/>
    </font>
    <font>
      <sz val="11"/>
      <color rgb="FF77379F"/>
      <name val="Aptos Narrow"/>
      <family val="2"/>
      <scheme val="minor"/>
    </font>
    <font>
      <b/>
      <sz val="11"/>
      <color theme="0"/>
      <name val="Aptos Narrow"/>
      <family val="2"/>
    </font>
    <font>
      <b/>
      <sz val="12"/>
      <color theme="1"/>
      <name val="Aptos Narrow"/>
      <family val="2"/>
      <scheme val="minor"/>
    </font>
  </fonts>
  <fills count="17">
    <fill>
      <patternFill patternType="none"/>
    </fill>
    <fill>
      <patternFill patternType="gray125"/>
    </fill>
    <fill>
      <patternFill patternType="solid">
        <fgColor theme="0" tint="-0.34998626667073579"/>
        <bgColor indexed="64"/>
      </patternFill>
    </fill>
    <fill>
      <patternFill patternType="solid">
        <fgColor theme="2" tint="-0.249977111117893"/>
        <bgColor indexed="64"/>
      </patternFill>
    </fill>
    <fill>
      <patternFill patternType="solid">
        <fgColor rgb="FFFFFF00"/>
        <bgColor indexed="64"/>
      </patternFill>
    </fill>
    <fill>
      <patternFill patternType="solid">
        <fgColor rgb="FFF5E3A3"/>
        <bgColor indexed="64"/>
      </patternFill>
    </fill>
    <fill>
      <patternFill patternType="solid">
        <fgColor rgb="FF283580"/>
        <bgColor indexed="64"/>
      </patternFill>
    </fill>
    <fill>
      <patternFill patternType="solid">
        <fgColor rgb="FFDFC9ED"/>
        <bgColor indexed="64"/>
      </patternFill>
    </fill>
    <fill>
      <patternFill patternType="solid">
        <fgColor rgb="FFA567CB"/>
        <bgColor indexed="64"/>
      </patternFill>
    </fill>
    <fill>
      <patternFill patternType="solid">
        <fgColor rgb="FF77379F"/>
        <bgColor indexed="64"/>
      </patternFill>
    </fill>
    <fill>
      <patternFill patternType="solid">
        <fgColor rgb="FF4A2263"/>
        <bgColor indexed="64"/>
      </patternFill>
    </fill>
    <fill>
      <patternFill patternType="solid">
        <fgColor rgb="FFC49BDD"/>
        <bgColor indexed="64"/>
      </patternFill>
    </fill>
    <fill>
      <patternFill patternType="solid">
        <fgColor rgb="FFFED860"/>
        <bgColor indexed="64"/>
      </patternFill>
    </fill>
    <fill>
      <patternFill patternType="solid">
        <fgColor rgb="FFC2E597"/>
        <bgColor indexed="64"/>
      </patternFill>
    </fill>
    <fill>
      <patternFill patternType="solid">
        <fgColor rgb="FF311642"/>
        <bgColor indexed="64"/>
      </patternFill>
    </fill>
    <fill>
      <patternFill patternType="solid">
        <fgColor theme="2" tint="-9.9978637043366805E-2"/>
        <bgColor indexed="64"/>
      </patternFill>
    </fill>
    <fill>
      <patternFill patternType="solid">
        <fgColor rgb="FFB3E2F7"/>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thin">
        <color auto="1"/>
      </top>
      <bottom style="medium">
        <color auto="1"/>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diagonalUp="1">
      <left/>
      <right/>
      <top/>
      <bottom/>
      <diagonal style="thin">
        <color auto="1"/>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468">
    <xf numFmtId="0" fontId="0" fillId="0" borderId="0" xfId="0"/>
    <xf numFmtId="0" fontId="3" fillId="0" borderId="0" xfId="0" applyFont="1" applyAlignment="1">
      <alignment vertical="center"/>
    </xf>
    <xf numFmtId="3" fontId="3" fillId="0" borderId="0" xfId="0" applyNumberFormat="1" applyFont="1" applyAlignment="1">
      <alignment horizontal="center" vertical="center"/>
    </xf>
    <xf numFmtId="0" fontId="2" fillId="3" borderId="12" xfId="0" applyFont="1" applyFill="1" applyBorder="1" applyAlignment="1">
      <alignment horizontal="right" vertical="center"/>
    </xf>
    <xf numFmtId="0" fontId="0" fillId="0" borderId="0" xfId="0" applyAlignment="1">
      <alignment horizontal="center" wrapText="1"/>
    </xf>
    <xf numFmtId="0" fontId="0" fillId="0" borderId="0" xfId="0" applyAlignment="1">
      <alignment wrapText="1"/>
    </xf>
    <xf numFmtId="0" fontId="4" fillId="0" borderId="0" xfId="0" applyFont="1"/>
    <xf numFmtId="0" fontId="0" fillId="0" borderId="28" xfId="0" applyBorder="1"/>
    <xf numFmtId="0" fontId="0" fillId="0" borderId="27" xfId="0" applyBorder="1"/>
    <xf numFmtId="11" fontId="0" fillId="0" borderId="27" xfId="0" applyNumberFormat="1" applyBorder="1"/>
    <xf numFmtId="11" fontId="0" fillId="0" borderId="0" xfId="0" applyNumberFormat="1"/>
    <xf numFmtId="0" fontId="4" fillId="0" borderId="0" xfId="0" applyFont="1" applyAlignment="1">
      <alignment vertical="center"/>
    </xf>
    <xf numFmtId="0" fontId="4" fillId="0" borderId="0" xfId="0" applyFont="1" applyAlignment="1">
      <alignment horizontal="justify"/>
    </xf>
    <xf numFmtId="0" fontId="8" fillId="0" borderId="28" xfId="0" applyFont="1" applyBorder="1" applyAlignment="1">
      <alignment horizontal="right" vertical="center"/>
    </xf>
    <xf numFmtId="11" fontId="0" fillId="0" borderId="28" xfId="0" applyNumberFormat="1" applyBorder="1"/>
    <xf numFmtId="0" fontId="0" fillId="4" borderId="0" xfId="0" applyFill="1"/>
    <xf numFmtId="11" fontId="0" fillId="0" borderId="29" xfId="0" applyNumberFormat="1" applyBorder="1"/>
    <xf numFmtId="11" fontId="0" fillId="0" borderId="30" xfId="0" applyNumberFormat="1" applyBorder="1"/>
    <xf numFmtId="0" fontId="0" fillId="0" borderId="13" xfId="0" applyBorder="1"/>
    <xf numFmtId="0" fontId="3" fillId="0" borderId="0" xfId="0" applyFont="1"/>
    <xf numFmtId="11" fontId="3" fillId="0" borderId="0" xfId="0" applyNumberFormat="1" applyFont="1" applyAlignment="1">
      <alignment horizontal="center" vertical="center"/>
    </xf>
    <xf numFmtId="0" fontId="4" fillId="0" borderId="0" xfId="0" applyFont="1" applyAlignment="1">
      <alignment wrapText="1"/>
    </xf>
    <xf numFmtId="0" fontId="4" fillId="0" borderId="0" xfId="0" applyFont="1" applyAlignment="1">
      <alignment vertical="center" textRotation="90"/>
    </xf>
    <xf numFmtId="0" fontId="0" fillId="0" borderId="0" xfId="0" applyAlignment="1">
      <alignment horizontal="center"/>
    </xf>
    <xf numFmtId="0" fontId="4" fillId="0" borderId="0" xfId="0" applyFont="1" applyAlignment="1">
      <alignment horizontal="center"/>
    </xf>
    <xf numFmtId="0" fontId="6" fillId="0" borderId="0" xfId="0" applyFont="1"/>
    <xf numFmtId="0" fontId="8" fillId="0" borderId="0" xfId="0" applyFont="1" applyAlignment="1">
      <alignment horizontal="right" vertical="center"/>
    </xf>
    <xf numFmtId="0" fontId="0" fillId="0" borderId="29" xfId="0" applyBorder="1"/>
    <xf numFmtId="0" fontId="6" fillId="0" borderId="29" xfId="0" applyFont="1" applyBorder="1" applyAlignment="1">
      <alignment horizontal="right"/>
    </xf>
    <xf numFmtId="0" fontId="6" fillId="0" borderId="30" xfId="0" applyFont="1" applyBorder="1" applyAlignment="1">
      <alignment horizontal="right"/>
    </xf>
    <xf numFmtId="0" fontId="4" fillId="0" borderId="43" xfId="0" applyFont="1" applyBorder="1"/>
    <xf numFmtId="0" fontId="4" fillId="0" borderId="44" xfId="0" applyFont="1" applyBorder="1"/>
    <xf numFmtId="0" fontId="4" fillId="0" borderId="26" xfId="0" applyFont="1" applyBorder="1"/>
    <xf numFmtId="0" fontId="4" fillId="0" borderId="27" xfId="0" applyFont="1" applyBorder="1" applyAlignment="1">
      <alignment horizontal="right"/>
    </xf>
    <xf numFmtId="2" fontId="0" fillId="0" borderId="28" xfId="0" applyNumberFormat="1" applyBorder="1"/>
    <xf numFmtId="0" fontId="0" fillId="0" borderId="33" xfId="0" applyBorder="1"/>
    <xf numFmtId="0" fontId="0" fillId="0" borderId="0" xfId="0" applyAlignment="1">
      <alignment horizontal="left"/>
    </xf>
    <xf numFmtId="0" fontId="5" fillId="0" borderId="0" xfId="0" applyFont="1"/>
    <xf numFmtId="0" fontId="2" fillId="3" borderId="10"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4" fillId="3" borderId="10" xfId="0" applyFont="1" applyFill="1" applyBorder="1" applyAlignment="1">
      <alignment horizontal="center" vertical="center"/>
    </xf>
    <xf numFmtId="2" fontId="0" fillId="0" borderId="0" xfId="1" applyNumberFormat="1" applyFont="1" applyBorder="1" applyAlignment="1" applyProtection="1">
      <alignment horizontal="center" vertical="center"/>
      <protection hidden="1"/>
    </xf>
    <xf numFmtId="2" fontId="8" fillId="0" borderId="28" xfId="0" applyNumberFormat="1" applyFont="1" applyBorder="1" applyAlignment="1">
      <alignment horizontal="right" vertical="center"/>
    </xf>
    <xf numFmtId="0" fontId="4" fillId="3" borderId="17" xfId="0" applyFont="1" applyFill="1" applyBorder="1" applyAlignment="1">
      <alignment horizontal="center" vertical="center"/>
    </xf>
    <xf numFmtId="0" fontId="0" fillId="0" borderId="28" xfId="0" applyBorder="1" applyAlignment="1">
      <alignment horizontal="right"/>
    </xf>
    <xf numFmtId="0" fontId="0" fillId="0" borderId="29" xfId="0" applyBorder="1" applyAlignment="1">
      <alignment horizontal="right" vertical="center"/>
    </xf>
    <xf numFmtId="0" fontId="0" fillId="0" borderId="30" xfId="0" applyBorder="1"/>
    <xf numFmtId="0" fontId="3" fillId="0" borderId="0" xfId="0" applyFont="1" applyAlignment="1">
      <alignment vertical="center" wrapText="1"/>
    </xf>
    <xf numFmtId="0" fontId="3" fillId="0" borderId="4" xfId="0" applyFont="1" applyBorder="1" applyAlignment="1">
      <alignment vertical="center" wrapText="1"/>
    </xf>
    <xf numFmtId="0" fontId="0" fillId="0" borderId="6" xfId="0" applyBorder="1"/>
    <xf numFmtId="0" fontId="4" fillId="0" borderId="0" xfId="0" applyFont="1" applyAlignment="1">
      <alignment horizontal="center" wrapText="1"/>
    </xf>
    <xf numFmtId="0" fontId="0" fillId="0" borderId="37" xfId="0" applyBorder="1" applyAlignment="1">
      <alignment horizontal="center"/>
    </xf>
    <xf numFmtId="0" fontId="0" fillId="0" borderId="38" xfId="0" applyBorder="1" applyAlignment="1">
      <alignment horizontal="center"/>
    </xf>
    <xf numFmtId="0" fontId="0" fillId="0" borderId="24" xfId="0" applyBorder="1" applyAlignment="1">
      <alignment horizontal="center"/>
    </xf>
    <xf numFmtId="0" fontId="0" fillId="0" borderId="40" xfId="0" applyBorder="1" applyAlignment="1">
      <alignment horizontal="center"/>
    </xf>
    <xf numFmtId="0" fontId="0" fillId="0" borderId="25" xfId="0" applyBorder="1" applyAlignment="1">
      <alignment horizontal="center"/>
    </xf>
    <xf numFmtId="0" fontId="0" fillId="0" borderId="42" xfId="0" applyBorder="1" applyAlignment="1">
      <alignment horizontal="center"/>
    </xf>
    <xf numFmtId="0" fontId="0" fillId="0" borderId="38" xfId="0" applyBorder="1" applyAlignment="1">
      <alignment horizontal="center" wrapText="1"/>
    </xf>
    <xf numFmtId="0" fontId="0" fillId="0" borderId="40" xfId="0" applyBorder="1" applyAlignment="1">
      <alignment horizontal="center" wrapText="1"/>
    </xf>
    <xf numFmtId="0" fontId="0" fillId="0" borderId="36" xfId="0" applyBorder="1" applyAlignment="1">
      <alignment horizontal="center"/>
    </xf>
    <xf numFmtId="0" fontId="0" fillId="0" borderId="39" xfId="0" applyBorder="1" applyAlignment="1">
      <alignment horizontal="center"/>
    </xf>
    <xf numFmtId="0" fontId="0" fillId="0" borderId="41" xfId="0" applyBorder="1" applyAlignment="1">
      <alignment horizontal="center"/>
    </xf>
    <xf numFmtId="0" fontId="0" fillId="5" borderId="36" xfId="0" applyFill="1" applyBorder="1" applyAlignment="1" applyProtection="1">
      <alignment horizontal="center"/>
      <protection locked="0"/>
    </xf>
    <xf numFmtId="0" fontId="0" fillId="5" borderId="37" xfId="0" applyFill="1" applyBorder="1" applyAlignment="1" applyProtection="1">
      <alignment horizontal="center"/>
      <protection locked="0"/>
    </xf>
    <xf numFmtId="0" fontId="0" fillId="5" borderId="39"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0" fillId="5" borderId="41" xfId="0" applyFill="1" applyBorder="1" applyAlignment="1" applyProtection="1">
      <alignment horizontal="center"/>
      <protection locked="0"/>
    </xf>
    <xf numFmtId="0" fontId="0" fillId="5" borderId="25" xfId="0" applyFill="1" applyBorder="1" applyAlignment="1" applyProtection="1">
      <alignment horizontal="center"/>
      <protection locked="0"/>
    </xf>
    <xf numFmtId="0" fontId="0" fillId="5" borderId="38" xfId="0" applyFill="1" applyBorder="1" applyAlignment="1" applyProtection="1">
      <alignment horizontal="center"/>
      <protection locked="0"/>
    </xf>
    <xf numFmtId="0" fontId="0" fillId="5" borderId="40" xfId="0" applyFill="1" applyBorder="1" applyAlignment="1" applyProtection="1">
      <alignment horizontal="center"/>
      <protection locked="0"/>
    </xf>
    <xf numFmtId="0" fontId="0" fillId="5" borderId="42" xfId="0" applyFill="1" applyBorder="1" applyAlignment="1" applyProtection="1">
      <alignment horizontal="center"/>
      <protection locked="0"/>
    </xf>
    <xf numFmtId="0" fontId="0" fillId="5" borderId="1" xfId="0" applyFill="1" applyBorder="1" applyProtection="1">
      <protection locked="0"/>
    </xf>
    <xf numFmtId="165" fontId="4" fillId="0" borderId="16" xfId="0" applyNumberFormat="1" applyFont="1" applyBorder="1"/>
    <xf numFmtId="11" fontId="4" fillId="0" borderId="27" xfId="0" applyNumberFormat="1" applyFont="1" applyBorder="1"/>
    <xf numFmtId="165" fontId="4" fillId="0" borderId="14" xfId="0" applyNumberFormat="1" applyFont="1" applyBorder="1"/>
    <xf numFmtId="11" fontId="4" fillId="0" borderId="30" xfId="0" applyNumberFormat="1" applyFont="1" applyBorder="1"/>
    <xf numFmtId="11" fontId="2" fillId="0" borderId="0" xfId="0" applyNumberFormat="1" applyFont="1" applyAlignment="1">
      <alignment horizontal="center" vertical="center"/>
    </xf>
    <xf numFmtId="0" fontId="3" fillId="0" borderId="0" xfId="0" applyFont="1" applyAlignment="1">
      <alignment horizontal="left"/>
    </xf>
    <xf numFmtId="0" fontId="0" fillId="0" borderId="0" xfId="0" applyAlignment="1">
      <alignment horizontal="right" vertical="center"/>
    </xf>
    <xf numFmtId="0" fontId="0" fillId="0" borderId="29" xfId="0" applyBorder="1" applyAlignment="1">
      <alignment horizontal="left"/>
    </xf>
    <xf numFmtId="0" fontId="0" fillId="0" borderId="13" xfId="0" applyBorder="1" applyAlignment="1">
      <alignment horizontal="center"/>
    </xf>
    <xf numFmtId="0" fontId="14" fillId="0" borderId="0" xfId="0" applyFont="1" applyAlignment="1">
      <alignment horizontal="right" vertical="center"/>
    </xf>
    <xf numFmtId="0" fontId="15" fillId="0" borderId="0" xfId="0" applyFont="1"/>
    <xf numFmtId="11" fontId="4" fillId="0" borderId="0" xfId="0" applyNumberFormat="1" applyFont="1"/>
    <xf numFmtId="0" fontId="4" fillId="0" borderId="43" xfId="0" applyFont="1" applyBorder="1" applyAlignment="1">
      <alignment horizontal="center" vertical="center"/>
    </xf>
    <xf numFmtId="0" fontId="4" fillId="0" borderId="44" xfId="0" applyFont="1" applyBorder="1" applyAlignment="1">
      <alignment horizontal="center" vertical="center"/>
    </xf>
    <xf numFmtId="2" fontId="0" fillId="0" borderId="28" xfId="0" applyNumberFormat="1" applyBorder="1" applyAlignment="1">
      <alignment horizontal="center" vertical="center"/>
    </xf>
    <xf numFmtId="0" fontId="4" fillId="0" borderId="26" xfId="0" applyFont="1" applyBorder="1" applyAlignment="1">
      <alignment horizontal="center" vertical="center"/>
    </xf>
    <xf numFmtId="2" fontId="0" fillId="0" borderId="0" xfId="0" applyNumberFormat="1" applyAlignment="1" applyProtection="1">
      <alignment horizontal="center" vertical="center"/>
      <protection hidden="1"/>
    </xf>
    <xf numFmtId="2" fontId="0" fillId="0" borderId="32" xfId="0" applyNumberFormat="1" applyBorder="1" applyAlignment="1">
      <alignment horizontal="center"/>
    </xf>
    <xf numFmtId="2" fontId="0" fillId="0" borderId="28" xfId="0" applyNumberFormat="1" applyBorder="1" applyAlignment="1">
      <alignment horizontal="center"/>
    </xf>
    <xf numFmtId="0" fontId="4" fillId="0" borderId="14" xfId="0" applyFont="1" applyBorder="1" applyAlignment="1">
      <alignment horizontal="center"/>
    </xf>
    <xf numFmtId="0" fontId="4" fillId="0" borderId="35" xfId="0" applyFont="1" applyBorder="1" applyAlignment="1">
      <alignment horizontal="center"/>
    </xf>
    <xf numFmtId="0" fontId="17" fillId="6" borderId="0" xfId="0" applyFont="1" applyFill="1" applyAlignment="1">
      <alignment horizontal="right" vertical="center"/>
    </xf>
    <xf numFmtId="0" fontId="17" fillId="6" borderId="7" xfId="0" applyFont="1" applyFill="1" applyBorder="1" applyAlignment="1">
      <alignment horizontal="right" vertical="center"/>
    </xf>
    <xf numFmtId="0" fontId="17" fillId="6" borderId="2" xfId="0" applyFont="1" applyFill="1" applyBorder="1" applyAlignment="1">
      <alignment horizontal="right" vertical="center"/>
    </xf>
    <xf numFmtId="0" fontId="18" fillId="6" borderId="2" xfId="0" applyFont="1" applyFill="1" applyBorder="1" applyAlignment="1">
      <alignment horizontal="left" vertical="center"/>
    </xf>
    <xf numFmtId="0" fontId="0" fillId="11" borderId="37" xfId="0" applyFill="1" applyBorder="1" applyAlignment="1">
      <alignment horizontal="center"/>
    </xf>
    <xf numFmtId="0" fontId="0" fillId="11" borderId="24" xfId="0" applyFill="1" applyBorder="1" applyAlignment="1">
      <alignment horizontal="center"/>
    </xf>
    <xf numFmtId="0" fontId="0" fillId="11" borderId="25" xfId="0" applyFill="1" applyBorder="1" applyAlignment="1">
      <alignment horizontal="center"/>
    </xf>
    <xf numFmtId="0" fontId="5" fillId="9" borderId="37" xfId="0" applyFont="1" applyFill="1" applyBorder="1" applyAlignment="1">
      <alignment horizontal="center"/>
    </xf>
    <xf numFmtId="0" fontId="5" fillId="9" borderId="24" xfId="0" applyFont="1" applyFill="1" applyBorder="1" applyAlignment="1">
      <alignment horizontal="center"/>
    </xf>
    <xf numFmtId="0" fontId="5" fillId="9" borderId="25" xfId="0" applyFont="1" applyFill="1" applyBorder="1" applyAlignment="1">
      <alignment horizontal="center"/>
    </xf>
    <xf numFmtId="0" fontId="5" fillId="10" borderId="37" xfId="0" applyFont="1" applyFill="1" applyBorder="1" applyAlignment="1">
      <alignment horizontal="center"/>
    </xf>
    <xf numFmtId="0" fontId="5" fillId="10" borderId="24" xfId="0" applyFont="1" applyFill="1" applyBorder="1" applyAlignment="1">
      <alignment horizontal="center"/>
    </xf>
    <xf numFmtId="0" fontId="5" fillId="8" borderId="37" xfId="0" applyFont="1" applyFill="1" applyBorder="1" applyAlignment="1">
      <alignment horizontal="center"/>
    </xf>
    <xf numFmtId="0" fontId="5" fillId="8" borderId="24" xfId="0" applyFont="1" applyFill="1" applyBorder="1" applyAlignment="1">
      <alignment horizontal="center"/>
    </xf>
    <xf numFmtId="0" fontId="5" fillId="8" borderId="25" xfId="0" applyFont="1" applyFill="1" applyBorder="1" applyAlignment="1">
      <alignment horizontal="center"/>
    </xf>
    <xf numFmtId="0" fontId="0" fillId="5" borderId="24" xfId="0" applyFill="1" applyBorder="1" applyAlignment="1">
      <alignment horizontal="center"/>
    </xf>
    <xf numFmtId="0" fontId="0" fillId="5" borderId="25" xfId="0" applyFill="1" applyBorder="1" applyAlignment="1">
      <alignment horizontal="center"/>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14" fontId="5" fillId="0" borderId="0" xfId="0" applyNumberFormat="1" applyFont="1"/>
    <xf numFmtId="0" fontId="2" fillId="3" borderId="18" xfId="0" applyFont="1" applyFill="1" applyBorder="1" applyAlignment="1">
      <alignment horizontal="center" vertical="center" wrapText="1"/>
    </xf>
    <xf numFmtId="0" fontId="16" fillId="6" borderId="56" xfId="0" applyFont="1" applyFill="1" applyBorder="1" applyAlignment="1">
      <alignment horizontal="center"/>
    </xf>
    <xf numFmtId="0" fontId="16" fillId="6" borderId="55" xfId="0" applyFont="1" applyFill="1" applyBorder="1" applyAlignment="1">
      <alignment horizont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2" borderId="19" xfId="0" applyFill="1" applyBorder="1"/>
    <xf numFmtId="0" fontId="0" fillId="0" borderId="41" xfId="0" applyBorder="1" applyAlignment="1">
      <alignment horizontal="center" vertical="center"/>
    </xf>
    <xf numFmtId="0" fontId="0" fillId="0" borderId="25" xfId="0" applyBorder="1" applyAlignment="1">
      <alignment horizontal="center" vertical="center"/>
    </xf>
    <xf numFmtId="0" fontId="0" fillId="0" borderId="42" xfId="0" applyBorder="1" applyAlignment="1">
      <alignment horizontal="center" vertical="center"/>
    </xf>
    <xf numFmtId="0" fontId="0" fillId="2" borderId="57" xfId="0" applyFill="1" applyBorder="1"/>
    <xf numFmtId="0" fontId="2" fillId="0" borderId="0" xfId="0" applyFont="1" applyAlignment="1">
      <alignment horizontal="center" vertical="center" wrapText="1"/>
    </xf>
    <xf numFmtId="0" fontId="0" fillId="0" borderId="0" xfId="0" applyAlignment="1">
      <alignment horizontal="center" vertical="center"/>
    </xf>
    <xf numFmtId="0" fontId="0" fillId="0" borderId="7" xfId="0" applyBorder="1" applyAlignment="1">
      <alignment wrapText="1"/>
    </xf>
    <xf numFmtId="0" fontId="17" fillId="0" borderId="0" xfId="0" applyFont="1" applyAlignment="1">
      <alignment horizontal="right" vertical="center"/>
    </xf>
    <xf numFmtId="0" fontId="2" fillId="0" borderId="0" xfId="0" applyFont="1" applyAlignment="1" applyProtection="1">
      <alignment vertical="center"/>
      <protection locked="0"/>
    </xf>
    <xf numFmtId="3"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13" fillId="0" borderId="0" xfId="0" applyFont="1" applyAlignment="1">
      <alignment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xf>
    <xf numFmtId="11" fontId="4" fillId="0" borderId="0" xfId="0" applyNumberFormat="1" applyFont="1" applyAlignment="1">
      <alignment horizontal="center" vertical="center"/>
    </xf>
    <xf numFmtId="0" fontId="14" fillId="0" borderId="28" xfId="0" applyFont="1" applyBorder="1" applyAlignment="1">
      <alignment horizontal="right" vertical="center"/>
    </xf>
    <xf numFmtId="0" fontId="0" fillId="0" borderId="32" xfId="0" applyBorder="1"/>
    <xf numFmtId="0" fontId="4" fillId="0" borderId="24" xfId="0" applyFont="1" applyBorder="1" applyAlignment="1">
      <alignment horizontal="center"/>
    </xf>
    <xf numFmtId="0" fontId="6" fillId="0" borderId="0" xfId="0" applyFont="1" applyAlignment="1">
      <alignment horizontal="right"/>
    </xf>
    <xf numFmtId="0" fontId="6" fillId="0" borderId="27" xfId="0" applyFont="1" applyBorder="1" applyAlignment="1">
      <alignment horizontal="right"/>
    </xf>
    <xf numFmtId="0" fontId="6" fillId="0" borderId="13" xfId="0" applyFont="1" applyBorder="1" applyAlignment="1">
      <alignment horizontal="right"/>
    </xf>
    <xf numFmtId="2" fontId="0" fillId="0" borderId="0" xfId="0" applyNumberFormat="1"/>
    <xf numFmtId="0" fontId="6" fillId="0" borderId="28" xfId="0" applyFont="1" applyBorder="1" applyAlignment="1">
      <alignment horizontal="right"/>
    </xf>
    <xf numFmtId="0" fontId="0" fillId="0" borderId="27" xfId="0" applyBorder="1" applyAlignment="1">
      <alignment horizontal="center"/>
    </xf>
    <xf numFmtId="11" fontId="8" fillId="0" borderId="27" xfId="0" applyNumberFormat="1" applyFont="1" applyBorder="1" applyAlignment="1">
      <alignment horizontal="right" vertical="center"/>
    </xf>
    <xf numFmtId="2" fontId="0" fillId="0" borderId="0" xfId="0" applyNumberFormat="1" applyAlignment="1">
      <alignment horizontal="center" wrapText="1"/>
    </xf>
    <xf numFmtId="0" fontId="4" fillId="0" borderId="0" xfId="0" applyFont="1" applyAlignment="1">
      <alignment horizontal="right"/>
    </xf>
    <xf numFmtId="2" fontId="0" fillId="0" borderId="13" xfId="0" applyNumberFormat="1" applyBorder="1" applyAlignment="1">
      <alignment horizontal="center" wrapText="1"/>
    </xf>
    <xf numFmtId="2" fontId="3" fillId="0" borderId="27" xfId="1" applyNumberFormat="1" applyFont="1" applyFill="1" applyBorder="1" applyAlignment="1" applyProtection="1">
      <alignment horizontal="center" vertical="center"/>
      <protection hidden="1"/>
    </xf>
    <xf numFmtId="2" fontId="3" fillId="0" borderId="30" xfId="1" applyNumberFormat="1" applyFont="1" applyFill="1" applyBorder="1" applyAlignment="1" applyProtection="1">
      <alignment horizontal="center" vertical="center"/>
      <protection hidden="1"/>
    </xf>
    <xf numFmtId="2" fontId="0" fillId="0" borderId="27" xfId="0" applyNumberFormat="1" applyBorder="1" applyAlignment="1">
      <alignment horizontal="center" vertical="center"/>
    </xf>
    <xf numFmtId="2" fontId="0" fillId="0" borderId="29" xfId="0" applyNumberFormat="1" applyBorder="1" applyAlignment="1">
      <alignment horizontal="center"/>
    </xf>
    <xf numFmtId="2" fontId="0" fillId="0" borderId="30" xfId="0" applyNumberFormat="1" applyBorder="1" applyAlignment="1">
      <alignment horizontal="center"/>
    </xf>
    <xf numFmtId="11" fontId="0" fillId="0" borderId="28" xfId="0" applyNumberFormat="1" applyBorder="1" applyAlignment="1">
      <alignment horizontal="center"/>
    </xf>
    <xf numFmtId="11" fontId="0" fillId="0" borderId="27" xfId="0" applyNumberFormat="1" applyBorder="1" applyAlignment="1">
      <alignment horizontal="center"/>
    </xf>
    <xf numFmtId="11" fontId="0" fillId="0" borderId="29" xfId="0" applyNumberFormat="1" applyBorder="1" applyAlignment="1">
      <alignment horizontal="center"/>
    </xf>
    <xf numFmtId="11" fontId="0" fillId="0" borderId="30" xfId="0" applyNumberFormat="1" applyBorder="1" applyAlignment="1">
      <alignment horizontal="center"/>
    </xf>
    <xf numFmtId="2" fontId="0" fillId="0" borderId="27" xfId="0" applyNumberFormat="1" applyBorder="1" applyAlignment="1">
      <alignment horizontal="center"/>
    </xf>
    <xf numFmtId="0" fontId="6" fillId="0" borderId="34" xfId="0" applyFont="1" applyBorder="1" applyAlignment="1">
      <alignment horizontal="right"/>
    </xf>
    <xf numFmtId="0" fontId="6" fillId="0" borderId="35" xfId="0" applyFont="1" applyBorder="1" applyAlignment="1">
      <alignment horizontal="right"/>
    </xf>
    <xf numFmtId="0" fontId="6" fillId="0" borderId="14" xfId="0" applyFont="1" applyBorder="1" applyAlignment="1">
      <alignment horizontal="right"/>
    </xf>
    <xf numFmtId="0" fontId="0" fillId="0" borderId="59" xfId="0" applyBorder="1"/>
    <xf numFmtId="0" fontId="0" fillId="0" borderId="60" xfId="0" applyBorder="1"/>
    <xf numFmtId="0" fontId="0" fillId="0" borderId="58" xfId="0" applyBorder="1"/>
    <xf numFmtId="0" fontId="0" fillId="0" borderId="28" xfId="0" applyBorder="1" applyAlignment="1">
      <alignment horizontal="center"/>
    </xf>
    <xf numFmtId="0" fontId="0" fillId="0" borderId="16" xfId="0" applyBorder="1" applyAlignment="1">
      <alignment horizontal="center"/>
    </xf>
    <xf numFmtId="0" fontId="0" fillId="0" borderId="30" xfId="0" applyBorder="1" applyAlignment="1">
      <alignment horizontal="center"/>
    </xf>
    <xf numFmtId="4" fontId="3" fillId="13" borderId="2" xfId="0" applyNumberFormat="1" applyFont="1" applyFill="1" applyBorder="1" applyAlignment="1" applyProtection="1">
      <alignment horizontal="center" vertical="center"/>
      <protection hidden="1"/>
    </xf>
    <xf numFmtId="4" fontId="3" fillId="13" borderId="3" xfId="1" applyNumberFormat="1" applyFont="1" applyFill="1" applyBorder="1" applyAlignment="1" applyProtection="1">
      <alignment horizontal="center" vertical="center"/>
      <protection hidden="1"/>
    </xf>
    <xf numFmtId="4" fontId="3" fillId="13" borderId="0" xfId="0" applyNumberFormat="1" applyFont="1" applyFill="1" applyAlignment="1" applyProtection="1">
      <alignment horizontal="center" vertical="center"/>
      <protection hidden="1"/>
    </xf>
    <xf numFmtId="4" fontId="3" fillId="13" borderId="5" xfId="1" applyNumberFormat="1" applyFont="1" applyFill="1" applyBorder="1" applyAlignment="1" applyProtection="1">
      <alignment horizontal="center" vertical="center"/>
      <protection hidden="1"/>
    </xf>
    <xf numFmtId="11" fontId="0" fillId="13" borderId="0" xfId="0" applyNumberFormat="1" applyFill="1" applyAlignment="1">
      <alignment horizontal="center"/>
    </xf>
    <xf numFmtId="11" fontId="0" fillId="13" borderId="5" xfId="0" applyNumberFormat="1" applyFill="1" applyBorder="1" applyAlignment="1">
      <alignment horizontal="center"/>
    </xf>
    <xf numFmtId="11" fontId="0" fillId="13" borderId="7" xfId="0" applyNumberFormat="1" applyFill="1" applyBorder="1" applyAlignment="1">
      <alignment horizontal="center"/>
    </xf>
    <xf numFmtId="11" fontId="0" fillId="13" borderId="8" xfId="0" applyNumberFormat="1" applyFill="1" applyBorder="1" applyAlignment="1">
      <alignment horizontal="center"/>
    </xf>
    <xf numFmtId="11" fontId="4" fillId="0" borderId="0" xfId="0" applyNumberFormat="1" applyFont="1" applyAlignment="1">
      <alignment horizontal="left" vertical="center"/>
    </xf>
    <xf numFmtId="2" fontId="0" fillId="0" borderId="33" xfId="1" applyNumberFormat="1" applyFont="1" applyFill="1" applyBorder="1" applyAlignment="1" applyProtection="1">
      <alignment horizontal="center" vertical="center"/>
      <protection hidden="1"/>
    </xf>
    <xf numFmtId="2" fontId="0" fillId="0" borderId="27" xfId="1" applyNumberFormat="1" applyFont="1" applyFill="1" applyBorder="1" applyAlignment="1" applyProtection="1">
      <alignment horizontal="center" vertical="center"/>
      <protection hidden="1"/>
    </xf>
    <xf numFmtId="11" fontId="0" fillId="0" borderId="32" xfId="0" applyNumberFormat="1" applyBorder="1" applyAlignment="1">
      <alignment horizontal="center"/>
    </xf>
    <xf numFmtId="11" fontId="0" fillId="0" borderId="33" xfId="0" applyNumberFormat="1" applyBorder="1" applyAlignment="1">
      <alignment horizontal="center"/>
    </xf>
    <xf numFmtId="11" fontId="0" fillId="0" borderId="33" xfId="1" applyNumberFormat="1" applyFont="1" applyFill="1" applyBorder="1" applyAlignment="1" applyProtection="1">
      <alignment horizontal="center" vertical="center"/>
      <protection hidden="1"/>
    </xf>
    <xf numFmtId="11" fontId="0" fillId="0" borderId="27" xfId="1" applyNumberFormat="1" applyFont="1" applyFill="1" applyBorder="1" applyAlignment="1" applyProtection="1">
      <alignment horizontal="center" vertical="center"/>
      <protection hidden="1"/>
    </xf>
    <xf numFmtId="2" fontId="14" fillId="0" borderId="28" xfId="0" applyNumberFormat="1" applyFont="1" applyBorder="1" applyAlignment="1">
      <alignment horizontal="right" vertical="center"/>
    </xf>
    <xf numFmtId="11" fontId="14" fillId="0" borderId="27" xfId="0" applyNumberFormat="1" applyFont="1" applyBorder="1" applyAlignment="1">
      <alignment horizontal="right" vertical="center"/>
    </xf>
    <xf numFmtId="2" fontId="14" fillId="0" borderId="0" xfId="0" applyNumberFormat="1" applyFont="1" applyAlignment="1">
      <alignment horizontal="right" vertical="center"/>
    </xf>
    <xf numFmtId="11" fontId="14" fillId="0" borderId="0" xfId="0" applyNumberFormat="1" applyFont="1" applyAlignment="1">
      <alignment horizontal="right" vertical="center"/>
    </xf>
    <xf numFmtId="0" fontId="14" fillId="0" borderId="16" xfId="0" applyFont="1" applyBorder="1" applyAlignment="1">
      <alignment horizontal="right" vertical="center"/>
    </xf>
    <xf numFmtId="0" fontId="0" fillId="0" borderId="39" xfId="0" applyBorder="1" applyAlignment="1">
      <alignment horizontal="center" wrapText="1"/>
    </xf>
    <xf numFmtId="0" fontId="0" fillId="0" borderId="24" xfId="0" applyBorder="1" applyAlignment="1">
      <alignment horizontal="center" wrapText="1"/>
    </xf>
    <xf numFmtId="2" fontId="0" fillId="0" borderId="30" xfId="1" applyNumberFormat="1" applyFont="1" applyFill="1" applyBorder="1" applyAlignment="1" applyProtection="1">
      <alignment horizontal="center" vertical="center"/>
      <protection hidden="1"/>
    </xf>
    <xf numFmtId="0" fontId="0" fillId="0" borderId="27" xfId="1" applyNumberFormat="1" applyFont="1" applyFill="1" applyBorder="1" applyAlignment="1" applyProtection="1">
      <alignment horizontal="center" vertical="center"/>
      <protection hidden="1"/>
    </xf>
    <xf numFmtId="11" fontId="0" fillId="0" borderId="30" xfId="1" applyNumberFormat="1" applyFont="1" applyFill="1" applyBorder="1" applyAlignment="1" applyProtection="1">
      <alignment horizontal="center" vertical="center"/>
      <protection hidden="1"/>
    </xf>
    <xf numFmtId="4" fontId="0" fillId="13" borderId="2" xfId="0" applyNumberFormat="1" applyFill="1" applyBorder="1" applyAlignment="1" applyProtection="1">
      <alignment horizontal="center" vertical="center"/>
      <protection hidden="1"/>
    </xf>
    <xf numFmtId="4" fontId="0" fillId="13" borderId="3" xfId="1" applyNumberFormat="1" applyFont="1" applyFill="1" applyBorder="1" applyAlignment="1" applyProtection="1">
      <alignment horizontal="center" vertical="center"/>
      <protection hidden="1"/>
    </xf>
    <xf numFmtId="4" fontId="0" fillId="13" borderId="0" xfId="0" applyNumberFormat="1" applyFill="1" applyAlignment="1" applyProtection="1">
      <alignment horizontal="center" vertical="center"/>
      <protection hidden="1"/>
    </xf>
    <xf numFmtId="4" fontId="0" fillId="13" borderId="5" xfId="1" applyNumberFormat="1" applyFont="1" applyFill="1" applyBorder="1" applyAlignment="1" applyProtection="1">
      <alignment horizontal="center" vertical="center"/>
      <protection hidden="1"/>
    </xf>
    <xf numFmtId="4" fontId="0" fillId="13" borderId="0" xfId="0" applyNumberFormat="1" applyFill="1" applyAlignment="1">
      <alignment horizontal="center"/>
    </xf>
    <xf numFmtId="4" fontId="0" fillId="13" borderId="5" xfId="0" applyNumberFormat="1" applyFill="1" applyBorder="1" applyAlignment="1">
      <alignment horizontal="center"/>
    </xf>
    <xf numFmtId="0" fontId="4" fillId="0" borderId="0" xfId="0" applyFont="1" applyAlignment="1">
      <alignment horizontal="right" wrapText="1"/>
    </xf>
    <xf numFmtId="2" fontId="23" fillId="2" borderId="9" xfId="0" applyNumberFormat="1" applyFont="1" applyFill="1" applyBorder="1" applyAlignment="1">
      <alignment horizontal="center" vertical="center"/>
    </xf>
    <xf numFmtId="2" fontId="22" fillId="2" borderId="9" xfId="0" applyNumberFormat="1" applyFont="1" applyFill="1" applyBorder="1" applyAlignment="1">
      <alignment horizontal="center" vertical="center"/>
    </xf>
    <xf numFmtId="0" fontId="0" fillId="11" borderId="24" xfId="0" applyFill="1" applyBorder="1" applyAlignment="1">
      <alignment horizontal="center" wrapText="1"/>
    </xf>
    <xf numFmtId="2" fontId="0" fillId="0" borderId="32" xfId="0" applyNumberFormat="1" applyBorder="1" applyAlignment="1" applyProtection="1">
      <alignment horizontal="center" vertical="center"/>
      <protection hidden="1"/>
    </xf>
    <xf numFmtId="2" fontId="0" fillId="0" borderId="28" xfId="0" applyNumberFormat="1" applyBorder="1" applyAlignment="1" applyProtection="1">
      <alignment horizontal="center" vertical="center"/>
      <protection hidden="1"/>
    </xf>
    <xf numFmtId="0" fontId="0" fillId="0" borderId="0" xfId="0" applyAlignment="1">
      <alignment vertical="center"/>
    </xf>
    <xf numFmtId="11" fontId="0" fillId="0" borderId="0" xfId="0" applyNumberFormat="1" applyAlignment="1">
      <alignment horizontal="center" vertical="center"/>
    </xf>
    <xf numFmtId="0" fontId="0" fillId="0" borderId="37" xfId="0" applyBorder="1" applyAlignment="1">
      <alignment horizontal="center" wrapText="1"/>
    </xf>
    <xf numFmtId="0" fontId="0" fillId="0" borderId="25" xfId="0" applyBorder="1" applyAlignment="1">
      <alignment horizontal="center" wrapText="1"/>
    </xf>
    <xf numFmtId="2" fontId="0" fillId="0" borderId="0" xfId="0" applyNumberFormat="1" applyAlignment="1">
      <alignment horizontal="left"/>
    </xf>
    <xf numFmtId="2" fontId="0" fillId="0" borderId="29" xfId="0" applyNumberFormat="1" applyBorder="1" applyAlignment="1" applyProtection="1">
      <alignment horizontal="center" vertical="center"/>
      <protection hidden="1"/>
    </xf>
    <xf numFmtId="11" fontId="0" fillId="0" borderId="32" xfId="0" applyNumberFormat="1" applyBorder="1"/>
    <xf numFmtId="0" fontId="5" fillId="8" borderId="24" xfId="0" applyFont="1" applyFill="1" applyBorder="1" applyAlignment="1">
      <alignment horizontal="center" wrapText="1"/>
    </xf>
    <xf numFmtId="2" fontId="0" fillId="0" borderId="33" xfId="0" applyNumberFormat="1" applyBorder="1" applyAlignment="1">
      <alignment horizontal="center"/>
    </xf>
    <xf numFmtId="11" fontId="0" fillId="0" borderId="33" xfId="0" applyNumberFormat="1" applyBorder="1"/>
    <xf numFmtId="0" fontId="5" fillId="10" borderId="24" xfId="0" applyFont="1" applyFill="1" applyBorder="1" applyAlignment="1">
      <alignment horizontal="center" wrapText="1"/>
    </xf>
    <xf numFmtId="0" fontId="0" fillId="0" borderId="41" xfId="0" applyBorder="1" applyAlignment="1">
      <alignment horizontal="center" wrapText="1"/>
    </xf>
    <xf numFmtId="0" fontId="5" fillId="10" borderId="25" xfId="0" applyFont="1" applyFill="1" applyBorder="1" applyAlignment="1">
      <alignment horizontal="center" wrapText="1"/>
    </xf>
    <xf numFmtId="0" fontId="0" fillId="0" borderId="42" xfId="0" applyBorder="1" applyAlignment="1">
      <alignment horizontal="center" wrapText="1"/>
    </xf>
    <xf numFmtId="0" fontId="5" fillId="9" borderId="24" xfId="0" applyFont="1" applyFill="1" applyBorder="1" applyAlignment="1">
      <alignment horizontal="center" wrapText="1"/>
    </xf>
    <xf numFmtId="0" fontId="4" fillId="0" borderId="60" xfId="0" applyFont="1" applyBorder="1" applyAlignment="1">
      <alignment horizontal="center"/>
    </xf>
    <xf numFmtId="0" fontId="4" fillId="0" borderId="58" xfId="0" applyFont="1" applyBorder="1" applyAlignment="1">
      <alignment horizontal="center"/>
    </xf>
    <xf numFmtId="0" fontId="4" fillId="0" borderId="59" xfId="0" applyFont="1" applyBorder="1" applyAlignment="1">
      <alignment horizontal="center"/>
    </xf>
    <xf numFmtId="2" fontId="0" fillId="13" borderId="2" xfId="0" applyNumberFormat="1" applyFill="1" applyBorder="1" applyAlignment="1" applyProtection="1">
      <alignment horizontal="center" vertical="center"/>
      <protection hidden="1"/>
    </xf>
    <xf numFmtId="2" fontId="0" fillId="13" borderId="3" xfId="1" applyNumberFormat="1" applyFont="1" applyFill="1" applyBorder="1" applyAlignment="1" applyProtection="1">
      <alignment horizontal="center" vertical="center"/>
      <protection hidden="1"/>
    </xf>
    <xf numFmtId="2" fontId="0" fillId="13" borderId="0" xfId="0" applyNumberFormat="1" applyFill="1" applyAlignment="1" applyProtection="1">
      <alignment horizontal="center" vertical="center"/>
      <protection hidden="1"/>
    </xf>
    <xf numFmtId="2" fontId="0" fillId="13" borderId="5" xfId="1" applyNumberFormat="1" applyFont="1" applyFill="1" applyBorder="1" applyAlignment="1" applyProtection="1">
      <alignment horizontal="center" vertical="center"/>
      <protection hidden="1"/>
    </xf>
    <xf numFmtId="2" fontId="0" fillId="13" borderId="0" xfId="0" applyNumberFormat="1" applyFill="1" applyAlignment="1">
      <alignment horizontal="center"/>
    </xf>
    <xf numFmtId="2" fontId="0" fillId="13" borderId="5" xfId="0" applyNumberFormat="1" applyFill="1" applyBorder="1" applyAlignment="1">
      <alignment horizontal="center"/>
    </xf>
    <xf numFmtId="0" fontId="0" fillId="0" borderId="29" xfId="0" applyBorder="1" applyAlignment="1">
      <alignment horizontal="center"/>
    </xf>
    <xf numFmtId="0" fontId="4" fillId="4" borderId="0" xfId="0" applyFont="1" applyFill="1"/>
    <xf numFmtId="0" fontId="24" fillId="0" borderId="0" xfId="0" applyFont="1"/>
    <xf numFmtId="0" fontId="4" fillId="11" borderId="0" xfId="0" applyFont="1" applyFill="1"/>
    <xf numFmtId="0" fontId="16" fillId="8" borderId="0" xfId="0" applyFont="1" applyFill="1"/>
    <xf numFmtId="0" fontId="16" fillId="9" borderId="0" xfId="0" applyFont="1" applyFill="1"/>
    <xf numFmtId="0" fontId="16" fillId="10" borderId="0" xfId="0" applyFont="1" applyFill="1"/>
    <xf numFmtId="0" fontId="21" fillId="0" borderId="0" xfId="0" applyFont="1"/>
    <xf numFmtId="0" fontId="0" fillId="0" borderId="61" xfId="0" applyBorder="1"/>
    <xf numFmtId="0" fontId="0" fillId="0" borderId="61" xfId="0" applyBorder="1" applyAlignment="1">
      <alignment wrapText="1"/>
    </xf>
    <xf numFmtId="0" fontId="0" fillId="0" borderId="0" xfId="0" applyAlignment="1">
      <alignment horizontal="right"/>
    </xf>
    <xf numFmtId="0" fontId="0" fillId="0" borderId="0" xfId="0" applyAlignment="1">
      <alignment horizontal="right" wrapText="1"/>
    </xf>
    <xf numFmtId="0" fontId="10" fillId="0" borderId="0" xfId="0" applyFont="1"/>
    <xf numFmtId="0" fontId="4" fillId="7" borderId="0" xfId="0" applyFont="1" applyFill="1" applyAlignment="1">
      <alignment wrapText="1"/>
    </xf>
    <xf numFmtId="0" fontId="0" fillId="7" borderId="0" xfId="0" applyFill="1"/>
    <xf numFmtId="0" fontId="21" fillId="11" borderId="0" xfId="0" applyFont="1" applyFill="1"/>
    <xf numFmtId="0" fontId="0" fillId="11" borderId="0" xfId="0" applyFill="1"/>
    <xf numFmtId="0" fontId="0" fillId="8" borderId="0" xfId="0" applyFill="1"/>
    <xf numFmtId="0" fontId="0" fillId="10" borderId="0" xfId="0" applyFill="1"/>
    <xf numFmtId="0" fontId="0" fillId="9" borderId="0" xfId="0" applyFill="1"/>
    <xf numFmtId="0" fontId="16" fillId="14" borderId="0" xfId="0" applyFont="1" applyFill="1"/>
    <xf numFmtId="0" fontId="0" fillId="14" borderId="0" xfId="0" applyFill="1"/>
    <xf numFmtId="0" fontId="4" fillId="15" borderId="0" xfId="0" applyFont="1" applyFill="1"/>
    <xf numFmtId="0" fontId="0" fillId="0" borderId="61" xfId="0" applyBorder="1" applyAlignment="1">
      <alignment horizontal="right"/>
    </xf>
    <xf numFmtId="0" fontId="0" fillId="0" borderId="61" xfId="0" applyBorder="1" applyAlignment="1">
      <alignment horizontal="right" wrapText="1"/>
    </xf>
    <xf numFmtId="0" fontId="0" fillId="0" borderId="0" xfId="0" applyAlignment="1">
      <alignment vertical="center" wrapText="1"/>
    </xf>
    <xf numFmtId="0" fontId="4" fillId="0" borderId="0" xfId="0" applyFont="1" applyAlignment="1">
      <alignment vertical="center" wrapText="1"/>
    </xf>
    <xf numFmtId="0" fontId="0" fillId="0" borderId="10" xfId="0" applyBorder="1" applyAlignment="1">
      <alignment vertical="center" wrapText="1"/>
    </xf>
    <xf numFmtId="0" fontId="0" fillId="0" borderId="10" xfId="0" applyBorder="1"/>
    <xf numFmtId="0" fontId="0" fillId="13" borderId="10" xfId="0" applyFill="1" applyBorder="1" applyAlignment="1">
      <alignment vertical="center" wrapText="1"/>
    </xf>
    <xf numFmtId="0" fontId="2" fillId="3" borderId="10" xfId="0" applyFont="1" applyFill="1" applyBorder="1" applyAlignment="1">
      <alignment horizontal="right" vertical="center"/>
    </xf>
    <xf numFmtId="0" fontId="0" fillId="7" borderId="37" xfId="0" applyFill="1" applyBorder="1" applyAlignment="1">
      <alignment horizontal="center"/>
    </xf>
    <xf numFmtId="0" fontId="0" fillId="7" borderId="24" xfId="0" applyFill="1" applyBorder="1" applyAlignment="1">
      <alignment horizontal="center"/>
    </xf>
    <xf numFmtId="0" fontId="0" fillId="0" borderId="39" xfId="0" applyBorder="1"/>
    <xf numFmtId="0" fontId="0" fillId="0" borderId="24" xfId="0" applyBorder="1"/>
    <xf numFmtId="0" fontId="0" fillId="0" borderId="40" xfId="0" applyBorder="1"/>
    <xf numFmtId="0" fontId="0" fillId="0" borderId="41" xfId="0" applyBorder="1"/>
    <xf numFmtId="0" fontId="0" fillId="0" borderId="25" xfId="0" applyBorder="1"/>
    <xf numFmtId="0" fontId="0" fillId="0" borderId="42" xfId="0" applyBorder="1"/>
    <xf numFmtId="0" fontId="4" fillId="3" borderId="34" xfId="0" applyFont="1" applyFill="1" applyBorder="1"/>
    <xf numFmtId="0" fontId="4" fillId="3" borderId="14" xfId="0" applyFont="1" applyFill="1" applyBorder="1"/>
    <xf numFmtId="0" fontId="4" fillId="3" borderId="35" xfId="0" applyFont="1" applyFill="1" applyBorder="1"/>
    <xf numFmtId="0" fontId="0" fillId="7" borderId="24" xfId="0" applyFill="1" applyBorder="1"/>
    <xf numFmtId="0" fontId="0" fillId="7" borderId="25" xfId="0" applyFill="1" applyBorder="1"/>
    <xf numFmtId="2" fontId="0" fillId="13" borderId="45" xfId="0" applyNumberFormat="1" applyFill="1" applyBorder="1" applyAlignment="1">
      <alignment horizontal="center" vertical="center"/>
    </xf>
    <xf numFmtId="2" fontId="0" fillId="13" borderId="3" xfId="0" applyNumberFormat="1" applyFill="1" applyBorder="1" applyAlignment="1">
      <alignment horizontal="center" vertical="center"/>
    </xf>
    <xf numFmtId="2" fontId="0" fillId="13" borderId="28" xfId="0" applyNumberFormat="1" applyFill="1" applyBorder="1" applyAlignment="1">
      <alignment horizontal="center" vertical="center"/>
    </xf>
    <xf numFmtId="2" fontId="0" fillId="13" borderId="5" xfId="0" applyNumberFormat="1" applyFill="1" applyBorder="1" applyAlignment="1">
      <alignment horizontal="center" vertical="center"/>
    </xf>
    <xf numFmtId="11" fontId="0" fillId="13" borderId="46" xfId="0" applyNumberFormat="1" applyFill="1" applyBorder="1" applyAlignment="1">
      <alignment horizontal="center" vertical="center"/>
    </xf>
    <xf numFmtId="11" fontId="0" fillId="13" borderId="8" xfId="0" applyNumberFormat="1" applyFill="1" applyBorder="1" applyAlignment="1">
      <alignment horizontal="center" vertical="center"/>
    </xf>
    <xf numFmtId="2" fontId="0" fillId="0" borderId="32" xfId="0" applyNumberFormat="1" applyBorder="1"/>
    <xf numFmtId="0" fontId="20" fillId="0" borderId="0" xfId="0" applyFont="1"/>
    <xf numFmtId="0" fontId="0" fillId="5" borderId="62" xfId="0" applyFill="1" applyBorder="1" applyAlignment="1" applyProtection="1">
      <alignment horizontal="center"/>
      <protection locked="0"/>
    </xf>
    <xf numFmtId="0" fontId="0" fillId="5" borderId="60" xfId="0" applyFill="1" applyBorder="1" applyAlignment="1" applyProtection="1">
      <alignment horizontal="center"/>
      <protection locked="0"/>
    </xf>
    <xf numFmtId="0" fontId="0" fillId="0" borderId="60" xfId="0" applyBorder="1" applyAlignment="1">
      <alignment horizontal="center" wrapText="1"/>
    </xf>
    <xf numFmtId="0" fontId="0" fillId="5" borderId="60" xfId="0" applyFill="1" applyBorder="1" applyAlignment="1">
      <alignment horizontal="center"/>
    </xf>
    <xf numFmtId="0" fontId="0" fillId="5" borderId="63" xfId="0" applyFill="1" applyBorder="1" applyAlignment="1" applyProtection="1">
      <alignment horizontal="center"/>
      <protection locked="0"/>
    </xf>
    <xf numFmtId="0" fontId="0" fillId="0" borderId="0" xfId="0" applyAlignment="1" applyProtection="1">
      <alignment horizontal="center"/>
      <protection locked="0"/>
    </xf>
    <xf numFmtId="0" fontId="5" fillId="0" borderId="0" xfId="0" applyFont="1" applyAlignment="1">
      <alignment horizontal="center"/>
    </xf>
    <xf numFmtId="0" fontId="17" fillId="6" borderId="2" xfId="0" applyFont="1" applyFill="1" applyBorder="1" applyAlignment="1">
      <alignment horizontal="center" vertical="center"/>
    </xf>
    <xf numFmtId="3" fontId="17" fillId="6" borderId="0" xfId="0" applyNumberFormat="1" applyFont="1" applyFill="1" applyAlignment="1">
      <alignment horizontal="center" vertical="center"/>
    </xf>
    <xf numFmtId="0" fontId="5" fillId="6" borderId="0" xfId="0" applyFont="1" applyFill="1"/>
    <xf numFmtId="0" fontId="17" fillId="6" borderId="0" xfId="0" applyFont="1" applyFill="1" applyAlignment="1">
      <alignment horizontal="left" vertical="center"/>
    </xf>
    <xf numFmtId="0" fontId="17" fillId="6" borderId="0" xfId="0" applyFont="1" applyFill="1" applyAlignment="1">
      <alignment horizontal="center" vertical="center"/>
    </xf>
    <xf numFmtId="0" fontId="17" fillId="6" borderId="0" xfId="0" applyFont="1" applyFill="1" applyAlignment="1">
      <alignment vertical="center"/>
    </xf>
    <xf numFmtId="3" fontId="17" fillId="6" borderId="7" xfId="0" applyNumberFormat="1" applyFont="1" applyFill="1" applyBorder="1" applyAlignment="1">
      <alignment horizontal="center" vertical="center"/>
    </xf>
    <xf numFmtId="0" fontId="5" fillId="6" borderId="7" xfId="0" applyFont="1" applyFill="1" applyBorder="1"/>
    <xf numFmtId="0" fontId="17" fillId="6" borderId="7" xfId="0" applyFont="1" applyFill="1" applyBorder="1" applyAlignment="1">
      <alignment horizontal="center" vertical="center"/>
    </xf>
    <xf numFmtId="0" fontId="17" fillId="6" borderId="7" xfId="0" applyFont="1" applyFill="1" applyBorder="1" applyAlignment="1">
      <alignment vertical="center"/>
    </xf>
    <xf numFmtId="0" fontId="5" fillId="6" borderId="4" xfId="0" applyFont="1" applyFill="1" applyBorder="1"/>
    <xf numFmtId="0" fontId="5" fillId="6" borderId="2" xfId="0" applyFont="1" applyFill="1" applyBorder="1"/>
    <xf numFmtId="3" fontId="17" fillId="6" borderId="2" xfId="0" applyNumberFormat="1" applyFont="1" applyFill="1" applyBorder="1" applyAlignment="1">
      <alignment horizontal="center" vertical="center"/>
    </xf>
    <xf numFmtId="0" fontId="17" fillId="6" borderId="2" xfId="0" applyFont="1" applyFill="1" applyBorder="1" applyAlignment="1">
      <alignment vertical="center"/>
    </xf>
    <xf numFmtId="0" fontId="17" fillId="6" borderId="3" xfId="0" applyFont="1" applyFill="1" applyBorder="1" applyAlignment="1">
      <alignment horizontal="center" vertical="center"/>
    </xf>
    <xf numFmtId="0" fontId="17" fillId="6" borderId="5" xfId="0" applyFont="1" applyFill="1" applyBorder="1" applyAlignment="1">
      <alignment horizontal="center" vertical="center"/>
    </xf>
    <xf numFmtId="0" fontId="5" fillId="6" borderId="6" xfId="0" applyFont="1" applyFill="1" applyBorder="1"/>
    <xf numFmtId="0" fontId="17" fillId="6" borderId="8" xfId="0" applyFont="1" applyFill="1" applyBorder="1" applyAlignment="1">
      <alignment horizontal="center" vertical="center"/>
    </xf>
    <xf numFmtId="14" fontId="17" fillId="6" borderId="2" xfId="0" applyNumberFormat="1" applyFont="1" applyFill="1" applyBorder="1" applyAlignment="1" applyProtection="1">
      <alignment horizontal="left" vertical="center"/>
      <protection locked="0"/>
    </xf>
    <xf numFmtId="0" fontId="19" fillId="0" borderId="0" xfId="0" applyFont="1" applyAlignment="1">
      <alignment vertical="center" wrapText="1"/>
    </xf>
    <xf numFmtId="0" fontId="19" fillId="0" borderId="4" xfId="0" applyFont="1" applyBorder="1" applyAlignment="1">
      <alignment vertical="center" wrapText="1"/>
    </xf>
    <xf numFmtId="0" fontId="5" fillId="6" borderId="1" xfId="0" applyFont="1" applyFill="1" applyBorder="1"/>
    <xf numFmtId="0" fontId="4" fillId="2" borderId="10" xfId="0" applyFont="1" applyFill="1" applyBorder="1" applyAlignment="1">
      <alignment horizontal="center"/>
    </xf>
    <xf numFmtId="0" fontId="4" fillId="16" borderId="17" xfId="0" applyFont="1" applyFill="1" applyBorder="1" applyAlignment="1" applyProtection="1">
      <alignment horizontal="center"/>
      <protection locked="0"/>
    </xf>
    <xf numFmtId="0" fontId="2" fillId="3" borderId="17"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0" fontId="17" fillId="6" borderId="2" xfId="0" applyFont="1" applyFill="1" applyBorder="1" applyAlignment="1">
      <alignment horizontal="center" vertical="center"/>
    </xf>
    <xf numFmtId="3" fontId="17" fillId="6" borderId="0" xfId="0" applyNumberFormat="1" applyFont="1" applyFill="1" applyAlignment="1">
      <alignment horizontal="right" vertical="center"/>
    </xf>
    <xf numFmtId="0" fontId="0" fillId="12" borderId="17" xfId="0" applyFill="1" applyBorder="1" applyAlignment="1">
      <alignment horizontal="center"/>
    </xf>
    <xf numFmtId="0" fontId="0" fillId="12" borderId="50" xfId="0" applyFill="1" applyBorder="1" applyAlignment="1">
      <alignment horizontal="center"/>
    </xf>
    <xf numFmtId="0" fontId="0" fillId="12" borderId="18" xfId="0" applyFill="1" applyBorder="1" applyAlignment="1">
      <alignment horizontal="center"/>
    </xf>
    <xf numFmtId="0" fontId="19" fillId="12" borderId="1" xfId="0"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19" fillId="12" borderId="0" xfId="0" applyFont="1" applyFill="1" applyAlignment="1">
      <alignment horizontal="center" vertical="center" wrapText="1"/>
    </xf>
    <xf numFmtId="0" fontId="19" fillId="12" borderId="5" xfId="0" applyFont="1" applyFill="1" applyBorder="1" applyAlignment="1">
      <alignment horizontal="center" vertical="center" wrapText="1"/>
    </xf>
    <xf numFmtId="0" fontId="19" fillId="12" borderId="6" xfId="0" applyFont="1" applyFill="1" applyBorder="1" applyAlignment="1">
      <alignment horizontal="center" vertical="center" wrapText="1"/>
    </xf>
    <xf numFmtId="0" fontId="19" fillId="12" borderId="7" xfId="0" applyFont="1" applyFill="1" applyBorder="1" applyAlignment="1">
      <alignment horizontal="center" vertical="center" wrapText="1"/>
    </xf>
    <xf numFmtId="0" fontId="19" fillId="12" borderId="8" xfId="0" applyFont="1" applyFill="1" applyBorder="1" applyAlignment="1">
      <alignment horizontal="center" vertical="center" wrapText="1"/>
    </xf>
    <xf numFmtId="0" fontId="17" fillId="6" borderId="0" xfId="0" applyFont="1" applyFill="1" applyAlignment="1" applyProtection="1">
      <alignment horizontal="center" vertical="center"/>
      <protection locked="0"/>
    </xf>
    <xf numFmtId="0" fontId="17" fillId="6" borderId="7" xfId="0" applyFont="1" applyFill="1" applyBorder="1" applyAlignment="1" applyProtection="1">
      <alignment horizontal="center" vertical="center"/>
      <protection locked="0"/>
    </xf>
    <xf numFmtId="0" fontId="0" fillId="12" borderId="1" xfId="0" applyFill="1" applyBorder="1" applyAlignment="1">
      <alignment horizontal="center" wrapText="1"/>
    </xf>
    <xf numFmtId="0" fontId="0" fillId="12" borderId="2" xfId="0" applyFill="1" applyBorder="1" applyAlignment="1">
      <alignment horizontal="center" wrapText="1"/>
    </xf>
    <xf numFmtId="0" fontId="0" fillId="12" borderId="3" xfId="0" applyFill="1" applyBorder="1" applyAlignment="1">
      <alignment horizontal="center" wrapText="1"/>
    </xf>
    <xf numFmtId="0" fontId="0" fillId="12" borderId="6" xfId="0" applyFill="1" applyBorder="1" applyAlignment="1">
      <alignment horizontal="center" wrapText="1"/>
    </xf>
    <xf numFmtId="0" fontId="0" fillId="12" borderId="7" xfId="0" applyFill="1" applyBorder="1" applyAlignment="1">
      <alignment horizontal="center" wrapText="1"/>
    </xf>
    <xf numFmtId="0" fontId="0" fillId="12" borderId="8" xfId="0" applyFill="1" applyBorder="1" applyAlignment="1">
      <alignment horizontal="center" wrapText="1"/>
    </xf>
    <xf numFmtId="2" fontId="2" fillId="2" borderId="1" xfId="0" applyNumberFormat="1" applyFont="1" applyFill="1" applyBorder="1" applyAlignment="1">
      <alignment horizontal="center" vertical="center" wrapText="1"/>
    </xf>
    <xf numFmtId="2" fontId="2" fillId="2" borderId="52"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2" fontId="2" fillId="2" borderId="27"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2" fontId="2" fillId="2" borderId="53" xfId="0" applyNumberFormat="1" applyFont="1" applyFill="1" applyBorder="1" applyAlignment="1">
      <alignment horizontal="center" vertical="center" wrapText="1"/>
    </xf>
    <xf numFmtId="2" fontId="2" fillId="2" borderId="45" xfId="0" applyNumberFormat="1" applyFont="1" applyFill="1" applyBorder="1" applyAlignment="1">
      <alignment horizontal="center" vertical="center" wrapText="1"/>
    </xf>
    <xf numFmtId="2" fontId="2" fillId="2" borderId="3" xfId="0" applyNumberFormat="1" applyFont="1" applyFill="1" applyBorder="1" applyAlignment="1">
      <alignment horizontal="center" vertical="center" wrapText="1"/>
    </xf>
    <xf numFmtId="2" fontId="2" fillId="2" borderId="28" xfId="0" applyNumberFormat="1"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2" fontId="2" fillId="2" borderId="46" xfId="0" applyNumberFormat="1" applyFont="1" applyFill="1" applyBorder="1" applyAlignment="1">
      <alignment horizontal="center" vertical="center" wrapText="1"/>
    </xf>
    <xf numFmtId="2" fontId="2" fillId="2" borderId="8" xfId="0" applyNumberFormat="1" applyFont="1" applyFill="1" applyBorder="1" applyAlignment="1">
      <alignment horizontal="center" vertical="center" wrapText="1"/>
    </xf>
    <xf numFmtId="0" fontId="0" fillId="0" borderId="45" xfId="0" applyBorder="1" applyAlignment="1">
      <alignment horizontal="center"/>
    </xf>
    <xf numFmtId="0" fontId="0" fillId="0" borderId="3" xfId="0" applyBorder="1" applyAlignment="1">
      <alignment horizontal="center"/>
    </xf>
    <xf numFmtId="2" fontId="2" fillId="2" borderId="17" xfId="0" applyNumberFormat="1" applyFont="1" applyFill="1" applyBorder="1" applyAlignment="1">
      <alignment horizontal="center" vertical="center"/>
    </xf>
    <xf numFmtId="2" fontId="2" fillId="2" borderId="50" xfId="0" applyNumberFormat="1" applyFont="1" applyFill="1" applyBorder="1" applyAlignment="1">
      <alignment horizontal="center" vertical="center"/>
    </xf>
    <xf numFmtId="2" fontId="2" fillId="2" borderId="18" xfId="0" applyNumberFormat="1" applyFont="1" applyFill="1" applyBorder="1" applyAlignment="1">
      <alignment horizontal="center" vertical="center"/>
    </xf>
    <xf numFmtId="2" fontId="23" fillId="2" borderId="17" xfId="0" applyNumberFormat="1" applyFont="1" applyFill="1" applyBorder="1" applyAlignment="1">
      <alignment horizontal="center" vertical="center"/>
    </xf>
    <xf numFmtId="2" fontId="23" fillId="2" borderId="54" xfId="0" applyNumberFormat="1" applyFont="1" applyFill="1" applyBorder="1" applyAlignment="1">
      <alignment horizontal="center" vertical="center"/>
    </xf>
    <xf numFmtId="2" fontId="3" fillId="0" borderId="20" xfId="0" applyNumberFormat="1" applyFont="1" applyBorder="1" applyAlignment="1" applyProtection="1">
      <alignment horizontal="center" vertical="center"/>
      <protection locked="0"/>
    </xf>
    <xf numFmtId="2" fontId="3" fillId="0" borderId="48" xfId="0" applyNumberFormat="1" applyFont="1" applyBorder="1" applyAlignment="1" applyProtection="1">
      <alignment horizontal="center" vertical="center"/>
      <protection locked="0"/>
    </xf>
    <xf numFmtId="2" fontId="3" fillId="0" borderId="51" xfId="0" applyNumberFormat="1" applyFont="1" applyBorder="1" applyAlignment="1" applyProtection="1">
      <alignment horizontal="center" vertical="center"/>
      <protection locked="0"/>
    </xf>
    <xf numFmtId="2" fontId="3" fillId="0" borderId="35" xfId="0" applyNumberFormat="1" applyFont="1" applyBorder="1" applyAlignment="1" applyProtection="1">
      <alignment horizontal="center" vertical="center"/>
      <protection locked="0"/>
    </xf>
    <xf numFmtId="3" fontId="3" fillId="0" borderId="20" xfId="0" applyNumberFormat="1" applyFont="1" applyBorder="1" applyAlignment="1">
      <alignment horizontal="center" vertical="center"/>
    </xf>
    <xf numFmtId="3" fontId="3" fillId="0" borderId="22" xfId="0" applyNumberFormat="1" applyFont="1" applyBorder="1" applyAlignment="1">
      <alignment horizontal="center" vertical="center"/>
    </xf>
    <xf numFmtId="3" fontId="3" fillId="0" borderId="21" xfId="0" applyNumberFormat="1" applyFont="1" applyBorder="1" applyAlignment="1">
      <alignment horizontal="center" vertical="center"/>
    </xf>
    <xf numFmtId="0" fontId="0" fillId="12" borderId="1" xfId="0" applyFill="1" applyBorder="1" applyAlignment="1">
      <alignment horizontal="center" vertical="center" wrapText="1"/>
    </xf>
    <xf numFmtId="0" fontId="0" fillId="12" borderId="2" xfId="0" applyFill="1" applyBorder="1" applyAlignment="1">
      <alignment horizontal="center" vertical="center" wrapText="1"/>
    </xf>
    <xf numFmtId="0" fontId="0" fillId="12" borderId="3" xfId="0" applyFill="1" applyBorder="1" applyAlignment="1">
      <alignment horizontal="center" vertical="center" wrapText="1"/>
    </xf>
    <xf numFmtId="0" fontId="0" fillId="12" borderId="4" xfId="0" applyFill="1" applyBorder="1" applyAlignment="1">
      <alignment horizontal="center" vertical="center" wrapText="1"/>
    </xf>
    <xf numFmtId="0" fontId="0" fillId="12" borderId="0" xfId="0" applyFill="1" applyAlignment="1">
      <alignment horizontal="center" vertical="center" wrapText="1"/>
    </xf>
    <xf numFmtId="0" fontId="0" fillId="12" borderId="5" xfId="0" applyFill="1" applyBorder="1" applyAlignment="1">
      <alignment horizontal="center" vertical="center" wrapText="1"/>
    </xf>
    <xf numFmtId="0" fontId="0" fillId="12" borderId="6" xfId="0" applyFill="1" applyBorder="1" applyAlignment="1">
      <alignment horizontal="center" vertical="center" wrapText="1"/>
    </xf>
    <xf numFmtId="0" fontId="0" fillId="12" borderId="7" xfId="0" applyFill="1" applyBorder="1" applyAlignment="1">
      <alignment horizontal="center" vertical="center" wrapText="1"/>
    </xf>
    <xf numFmtId="0" fontId="0" fillId="12" borderId="8" xfId="0" applyFill="1" applyBorder="1" applyAlignment="1">
      <alignment horizontal="center" vertical="center" wrapText="1"/>
    </xf>
    <xf numFmtId="2" fontId="3" fillId="0" borderId="64" xfId="0" applyNumberFormat="1" applyFont="1" applyBorder="1" applyAlignment="1" applyProtection="1">
      <alignment horizontal="center" vertical="center"/>
      <protection locked="0"/>
    </xf>
    <xf numFmtId="2" fontId="3" fillId="0" borderId="65" xfId="0" applyNumberFormat="1" applyFont="1" applyBorder="1" applyAlignment="1" applyProtection="1">
      <alignment horizontal="center" vertical="center"/>
      <protection locked="0"/>
    </xf>
    <xf numFmtId="2" fontId="3" fillId="0" borderId="47" xfId="0" applyNumberFormat="1" applyFont="1" applyBorder="1" applyAlignment="1">
      <alignment horizontal="center" vertical="center"/>
    </xf>
    <xf numFmtId="2" fontId="3" fillId="0" borderId="21" xfId="0" applyNumberFormat="1" applyFont="1" applyBorder="1" applyAlignment="1">
      <alignment horizontal="center" vertical="center"/>
    </xf>
    <xf numFmtId="2" fontId="23" fillId="2" borderId="66" xfId="0" applyNumberFormat="1" applyFont="1" applyFill="1" applyBorder="1" applyAlignment="1">
      <alignment horizontal="center" vertical="center"/>
    </xf>
    <xf numFmtId="2" fontId="23" fillId="2" borderId="18" xfId="0" applyNumberFormat="1" applyFont="1" applyFill="1" applyBorder="1" applyAlignment="1">
      <alignment horizontal="center" vertical="center"/>
    </xf>
    <xf numFmtId="2" fontId="3" fillId="0" borderId="34" xfId="0" applyNumberFormat="1" applyFont="1" applyBorder="1" applyAlignment="1">
      <alignment horizontal="center" vertical="center"/>
    </xf>
    <xf numFmtId="2" fontId="3" fillId="0" borderId="15" xfId="0" applyNumberFormat="1" applyFont="1" applyBorder="1" applyAlignment="1">
      <alignment horizontal="center" vertical="center"/>
    </xf>
    <xf numFmtId="11" fontId="3" fillId="0" borderId="34" xfId="0" applyNumberFormat="1" applyFont="1" applyBorder="1" applyAlignment="1">
      <alignment horizontal="center" vertical="center"/>
    </xf>
    <xf numFmtId="11" fontId="3" fillId="0" borderId="15" xfId="0" applyNumberFormat="1" applyFont="1" applyBorder="1" applyAlignment="1">
      <alignment horizontal="center" vertical="center"/>
    </xf>
    <xf numFmtId="11" fontId="3" fillId="0" borderId="49" xfId="0" applyNumberFormat="1" applyFont="1" applyBorder="1" applyAlignment="1">
      <alignment horizontal="center" vertical="center"/>
    </xf>
    <xf numFmtId="11" fontId="3" fillId="0" borderId="23" xfId="0" applyNumberFormat="1" applyFont="1" applyBorder="1" applyAlignment="1">
      <alignment horizontal="center" vertical="center"/>
    </xf>
    <xf numFmtId="3" fontId="3" fillId="0" borderId="51" xfId="0" applyNumberFormat="1" applyFont="1" applyBorder="1" applyAlignment="1">
      <alignment horizontal="center" vertical="center"/>
    </xf>
    <xf numFmtId="3" fontId="3" fillId="0" borderId="14" xfId="0" applyNumberFormat="1" applyFont="1" applyBorder="1" applyAlignment="1">
      <alignment horizontal="center" vertical="center"/>
    </xf>
    <xf numFmtId="3" fontId="3" fillId="0" borderId="15" xfId="0" applyNumberFormat="1" applyFont="1" applyBorder="1" applyAlignment="1">
      <alignment horizontal="center" vertical="center"/>
    </xf>
    <xf numFmtId="0" fontId="0" fillId="0" borderId="46" xfId="0" applyBorder="1" applyAlignment="1">
      <alignment horizontal="center"/>
    </xf>
    <xf numFmtId="0" fontId="0" fillId="0" borderId="8" xfId="0" applyBorder="1" applyAlignment="1">
      <alignment horizontal="center"/>
    </xf>
    <xf numFmtId="3" fontId="3" fillId="0" borderId="64" xfId="0" applyNumberFormat="1" applyFont="1" applyBorder="1" applyAlignment="1">
      <alignment horizontal="center" vertical="center"/>
    </xf>
    <xf numFmtId="3" fontId="3" fillId="0" borderId="31" xfId="0" applyNumberFormat="1" applyFont="1" applyBorder="1" applyAlignment="1">
      <alignment horizontal="center" vertical="center"/>
    </xf>
    <xf numFmtId="3" fontId="3" fillId="0" borderId="23" xfId="0" applyNumberFormat="1" applyFont="1" applyBorder="1" applyAlignment="1">
      <alignment horizontal="center" vertical="center"/>
    </xf>
    <xf numFmtId="0" fontId="2" fillId="12" borderId="17" xfId="0" applyFont="1" applyFill="1" applyBorder="1" applyAlignment="1">
      <alignment horizontal="center" vertical="center"/>
    </xf>
    <xf numFmtId="0" fontId="2" fillId="12" borderId="50" xfId="0" applyFont="1" applyFill="1" applyBorder="1" applyAlignment="1">
      <alignment horizontal="center" vertical="center"/>
    </xf>
    <xf numFmtId="0" fontId="2" fillId="12" borderId="18"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0" fillId="0" borderId="28" xfId="0" applyBorder="1" applyAlignment="1">
      <alignment horizontal="left"/>
    </xf>
    <xf numFmtId="0" fontId="0" fillId="0" borderId="0" xfId="0" applyAlignment="1">
      <alignment horizontal="left"/>
    </xf>
    <xf numFmtId="0" fontId="0" fillId="0" borderId="27" xfId="0" applyBorder="1" applyAlignment="1">
      <alignment horizontal="left"/>
    </xf>
    <xf numFmtId="0" fontId="0" fillId="0" borderId="29" xfId="0" applyBorder="1" applyAlignment="1">
      <alignment horizontal="left"/>
    </xf>
    <xf numFmtId="0" fontId="0" fillId="0" borderId="13" xfId="0" applyBorder="1" applyAlignment="1">
      <alignment horizontal="left"/>
    </xf>
    <xf numFmtId="0" fontId="0" fillId="0" borderId="30" xfId="0" applyBorder="1" applyAlignment="1">
      <alignment horizontal="left"/>
    </xf>
    <xf numFmtId="0" fontId="4" fillId="3"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0" fillId="0" borderId="32" xfId="0" applyBorder="1" applyAlignment="1">
      <alignment horizontal="center"/>
    </xf>
    <xf numFmtId="0" fontId="0" fillId="0" borderId="16" xfId="0" applyBorder="1" applyAlignment="1">
      <alignment horizontal="center"/>
    </xf>
    <xf numFmtId="0" fontId="0" fillId="0" borderId="33" xfId="0" applyBorder="1" applyAlignment="1">
      <alignment horizontal="center"/>
    </xf>
    <xf numFmtId="0" fontId="0" fillId="0" borderId="28"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13" xfId="0" applyBorder="1" applyAlignment="1">
      <alignment horizontal="center"/>
    </xf>
    <xf numFmtId="0" fontId="0" fillId="0" borderId="30" xfId="0" applyBorder="1" applyAlignment="1">
      <alignment horizontal="center"/>
    </xf>
    <xf numFmtId="0" fontId="4" fillId="3" borderId="34" xfId="0" applyFont="1" applyFill="1" applyBorder="1" applyAlignment="1">
      <alignment horizontal="center"/>
    </xf>
    <xf numFmtId="0" fontId="4" fillId="3" borderId="35" xfId="0" applyFont="1" applyFill="1" applyBorder="1" applyAlignment="1">
      <alignment horizontal="center"/>
    </xf>
    <xf numFmtId="0" fontId="4" fillId="3" borderId="14" xfId="0" applyFont="1" applyFill="1" applyBorder="1" applyAlignment="1">
      <alignment horizontal="center"/>
    </xf>
    <xf numFmtId="2" fontId="4" fillId="3" borderId="34" xfId="0" applyNumberFormat="1" applyFont="1" applyFill="1" applyBorder="1" applyAlignment="1">
      <alignment horizontal="center"/>
    </xf>
    <xf numFmtId="2" fontId="4" fillId="3" borderId="14" xfId="0" applyNumberFormat="1" applyFont="1" applyFill="1" applyBorder="1" applyAlignment="1">
      <alignment horizontal="center"/>
    </xf>
    <xf numFmtId="2" fontId="4" fillId="3" borderId="35" xfId="0" applyNumberFormat="1" applyFont="1" applyFill="1" applyBorder="1" applyAlignment="1">
      <alignment horizontal="center"/>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164" fontId="0" fillId="0" borderId="28" xfId="0" applyNumberFormat="1" applyBorder="1" applyAlignment="1">
      <alignment horizontal="left"/>
    </xf>
    <xf numFmtId="164" fontId="0" fillId="0" borderId="0" xfId="0" applyNumberFormat="1" applyAlignment="1">
      <alignment horizontal="left"/>
    </xf>
    <xf numFmtId="164" fontId="0" fillId="0" borderId="27" xfId="0" applyNumberFormat="1" applyBorder="1" applyAlignment="1">
      <alignment horizontal="left"/>
    </xf>
    <xf numFmtId="0" fontId="4" fillId="0" borderId="34" xfId="0" applyFont="1" applyBorder="1" applyAlignment="1">
      <alignment horizontal="center"/>
    </xf>
    <xf numFmtId="0" fontId="4" fillId="0" borderId="35" xfId="0" applyFont="1" applyBorder="1" applyAlignment="1">
      <alignment horizontal="center"/>
    </xf>
    <xf numFmtId="0" fontId="4" fillId="3" borderId="16" xfId="0" applyFont="1" applyFill="1" applyBorder="1" applyAlignment="1">
      <alignment horizontal="center"/>
    </xf>
    <xf numFmtId="0" fontId="4" fillId="3" borderId="33" xfId="0" applyFont="1" applyFill="1" applyBorder="1" applyAlignment="1">
      <alignment horizontal="center"/>
    </xf>
    <xf numFmtId="0" fontId="4" fillId="3" borderId="32" xfId="0" applyFont="1" applyFill="1" applyBorder="1" applyAlignment="1">
      <alignment horizontal="center"/>
    </xf>
    <xf numFmtId="0" fontId="2" fillId="2" borderId="12" xfId="0"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2" fontId="4" fillId="2" borderId="3" xfId="0" applyNumberFormat="1" applyFont="1" applyFill="1" applyBorder="1" applyAlignment="1">
      <alignment horizontal="center" vertical="center" wrapText="1"/>
    </xf>
    <xf numFmtId="2" fontId="4" fillId="2" borderId="4" xfId="0" applyNumberFormat="1" applyFont="1" applyFill="1" applyBorder="1" applyAlignment="1">
      <alignment horizontal="center" vertical="center" wrapText="1"/>
    </xf>
    <xf numFmtId="2" fontId="4" fillId="2" borderId="5" xfId="0" applyNumberFormat="1" applyFont="1" applyFill="1" applyBorder="1" applyAlignment="1">
      <alignment horizontal="center" vertical="center" wrapText="1"/>
    </xf>
    <xf numFmtId="2" fontId="4" fillId="2" borderId="6" xfId="0" applyNumberFormat="1" applyFont="1" applyFill="1" applyBorder="1" applyAlignment="1">
      <alignment horizontal="center" vertical="center" wrapText="1"/>
    </xf>
    <xf numFmtId="2" fontId="4" fillId="2" borderId="8"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2" fontId="4" fillId="3" borderId="3"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2" fontId="4" fillId="3" borderId="5" xfId="0" applyNumberFormat="1" applyFont="1" applyFill="1" applyBorder="1" applyAlignment="1">
      <alignment horizontal="center" vertical="center" wrapText="1"/>
    </xf>
    <xf numFmtId="2" fontId="4" fillId="3" borderId="6" xfId="0" applyNumberFormat="1" applyFont="1" applyFill="1" applyBorder="1" applyAlignment="1">
      <alignment horizontal="center" vertical="center" wrapText="1"/>
    </xf>
    <xf numFmtId="2" fontId="4" fillId="3" borderId="8" xfId="0" applyNumberFormat="1" applyFont="1" applyFill="1" applyBorder="1" applyAlignment="1">
      <alignment horizontal="center" vertical="center" wrapText="1"/>
    </xf>
    <xf numFmtId="0" fontId="4" fillId="0" borderId="14" xfId="0" applyFont="1" applyBorder="1" applyAlignment="1">
      <alignment horizont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17" xfId="0" applyFont="1" applyBorder="1" applyAlignment="1">
      <alignment horizontal="center"/>
    </xf>
    <xf numFmtId="0" fontId="4" fillId="0" borderId="50" xfId="0" applyFont="1" applyBorder="1" applyAlignment="1">
      <alignment horizontal="center"/>
    </xf>
    <xf numFmtId="0" fontId="4" fillId="0" borderId="18" xfId="0" applyFont="1" applyBorder="1" applyAlignment="1">
      <alignment horizontal="center"/>
    </xf>
    <xf numFmtId="0" fontId="0" fillId="4" borderId="0" xfId="0" applyFill="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cellXfs>
  <cellStyles count="2">
    <cellStyle name="Comma" xfId="1" builtinId="3"/>
    <cellStyle name="Normal" xfId="0" builtinId="0"/>
  </cellStyles>
  <dxfs count="17">
    <dxf>
      <fill>
        <patternFill>
          <bgColor rgb="FFB3E2F7"/>
        </patternFill>
      </fill>
    </dxf>
    <dxf>
      <fill>
        <patternFill>
          <bgColor theme="2" tint="-9.9948118533890809E-2"/>
        </patternFill>
      </fill>
    </dxf>
    <dxf>
      <font>
        <b/>
        <i val="0"/>
        <color theme="0"/>
      </font>
      <fill>
        <patternFill>
          <bgColor rgb="FF4A2263"/>
        </patternFill>
      </fill>
    </dxf>
    <dxf>
      <font>
        <b/>
        <i val="0"/>
        <color theme="0"/>
      </font>
      <fill>
        <patternFill>
          <bgColor rgb="FF77379F"/>
        </patternFill>
      </fill>
    </dxf>
    <dxf>
      <font>
        <b/>
        <i val="0"/>
        <color theme="0"/>
      </font>
      <fill>
        <patternFill>
          <bgColor rgb="FFA567CB"/>
        </patternFill>
      </fill>
    </dxf>
    <dxf>
      <font>
        <b/>
        <i val="0"/>
      </font>
      <fill>
        <patternFill>
          <bgColor rgb="FFC49BDD"/>
        </patternFill>
      </fill>
    </dxf>
    <dxf>
      <font>
        <b/>
        <i val="0"/>
      </font>
      <fill>
        <patternFill>
          <bgColor rgb="FFDFC9ED"/>
        </patternFill>
      </fill>
    </dxf>
    <dxf>
      <font>
        <color rgb="FF4E2216"/>
      </font>
      <fill>
        <patternFill>
          <bgColor rgb="FFF2876A"/>
        </patternFill>
      </fill>
    </dxf>
    <dxf>
      <font>
        <color rgb="FF2D4C10"/>
      </font>
      <fill>
        <patternFill>
          <bgColor rgb="FFC2E597"/>
        </patternFill>
      </fill>
    </dxf>
    <dxf>
      <font>
        <color theme="1"/>
      </font>
      <fill>
        <patternFill patternType="solid">
          <bgColor theme="2" tint="-9.9948118533890809E-2"/>
        </patternFill>
      </fill>
    </dxf>
    <dxf>
      <font>
        <color theme="0"/>
      </font>
      <fill>
        <patternFill>
          <bgColor rgb="FF4A2263"/>
        </patternFill>
      </fill>
    </dxf>
    <dxf>
      <font>
        <color theme="0"/>
      </font>
      <fill>
        <patternFill>
          <bgColor rgb="FF77379F"/>
        </patternFill>
      </fill>
    </dxf>
    <dxf>
      <font>
        <color theme="0"/>
      </font>
      <fill>
        <patternFill>
          <bgColor rgb="FFA567CB"/>
        </patternFill>
      </fill>
    </dxf>
    <dxf>
      <font>
        <color theme="1"/>
      </font>
      <fill>
        <patternFill>
          <bgColor rgb="FFC49BDD"/>
        </patternFill>
      </fill>
    </dxf>
    <dxf>
      <font>
        <color theme="1"/>
      </font>
      <fill>
        <patternFill>
          <bgColor rgb="FFDFC9ED"/>
        </patternFill>
      </fill>
    </dxf>
    <dxf>
      <font>
        <color theme="1"/>
      </font>
      <fill>
        <patternFill patternType="none">
          <bgColor auto="1"/>
        </patternFill>
      </fill>
    </dxf>
    <dxf>
      <font>
        <color theme="1"/>
      </font>
      <fill>
        <patternFill patternType="solid">
          <bgColor rgb="FFB3E2F7"/>
        </patternFill>
      </fill>
    </dxf>
  </dxfs>
  <tableStyles count="0" defaultTableStyle="TableStyleMedium2" defaultPivotStyle="PivotStyleLight16"/>
  <colors>
    <mruColors>
      <color rgb="FFB3E2F7"/>
      <color rgb="FF283580"/>
      <color rgb="FFFED860"/>
      <color rgb="FFC2E597"/>
      <color rgb="FFDFC9ED"/>
      <color rgb="FF4A2263"/>
      <color rgb="FF77379F"/>
      <color rgb="FFA567CB"/>
      <color rgb="FFC49BDD"/>
      <color rgb="FF3116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466725</xdr:colOff>
      <xdr:row>0</xdr:row>
      <xdr:rowOff>0</xdr:rowOff>
    </xdr:from>
    <xdr:to>
      <xdr:col>5</xdr:col>
      <xdr:colOff>219075</xdr:colOff>
      <xdr:row>4</xdr:row>
      <xdr:rowOff>2381</xdr:rowOff>
    </xdr:to>
    <xdr:pic>
      <xdr:nvPicPr>
        <xdr:cNvPr id="2" name="Picture 1">
          <a:extLst>
            <a:ext uri="{FF2B5EF4-FFF2-40B4-BE49-F238E27FC236}">
              <a16:creationId xmlns:a16="http://schemas.microsoft.com/office/drawing/2014/main" id="{16D40666-38A9-42EA-AE29-1A0DC7540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0"/>
          <a:ext cx="2038350" cy="764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276231</xdr:colOff>
      <xdr:row>13</xdr:row>
      <xdr:rowOff>19054</xdr:rowOff>
    </xdr:from>
    <xdr:to>
      <xdr:col>11</xdr:col>
      <xdr:colOff>209550</xdr:colOff>
      <xdr:row>29</xdr:row>
      <xdr:rowOff>171452</xdr:rowOff>
    </xdr:to>
    <xdr:cxnSp macro="">
      <xdr:nvCxnSpPr>
        <xdr:cNvPr id="4" name="Connector: Elbow 3">
          <a:extLst>
            <a:ext uri="{FF2B5EF4-FFF2-40B4-BE49-F238E27FC236}">
              <a16:creationId xmlns:a16="http://schemas.microsoft.com/office/drawing/2014/main" id="{EF681487-FDEA-7B88-6847-3067FF54D5BB}"/>
            </a:ext>
          </a:extLst>
        </xdr:cNvPr>
        <xdr:cNvCxnSpPr/>
      </xdr:nvCxnSpPr>
      <xdr:spPr>
        <a:xfrm rot="5400000">
          <a:off x="5233992" y="4119568"/>
          <a:ext cx="4038598" cy="542919"/>
        </a:xfrm>
        <a:prstGeom prst="bentConnector3">
          <a:avLst>
            <a:gd name="adj1" fmla="val 50000"/>
          </a:avLst>
        </a:prstGeom>
        <a:ln>
          <a:solidFill>
            <a:srgbClr val="FED86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19049</xdr:colOff>
      <xdr:row>21</xdr:row>
      <xdr:rowOff>171450</xdr:rowOff>
    </xdr:from>
    <xdr:to>
      <xdr:col>31</xdr:col>
      <xdr:colOff>480591</xdr:colOff>
      <xdr:row>25</xdr:row>
      <xdr:rowOff>181636</xdr:rowOff>
    </xdr:to>
    <xdr:pic>
      <xdr:nvPicPr>
        <xdr:cNvPr id="3" name="Picture 2">
          <a:extLst>
            <a:ext uri="{FF2B5EF4-FFF2-40B4-BE49-F238E27FC236}">
              <a16:creationId xmlns:a16="http://schemas.microsoft.com/office/drawing/2014/main" id="{73AD47F9-0675-B819-5E44-4538497712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000999" y="4552950"/>
          <a:ext cx="9024517" cy="772186"/>
        </a:xfrm>
        <a:prstGeom prst="rect">
          <a:avLst/>
        </a:prstGeom>
        <a:ln>
          <a:solidFill>
            <a:sysClr val="windowText" lastClr="000000"/>
          </a:solidFill>
        </a:ln>
      </xdr:spPr>
    </xdr:pic>
    <xdr:clientData/>
  </xdr:twoCellAnchor>
  <xdr:twoCellAnchor editAs="oneCell">
    <xdr:from>
      <xdr:col>10</xdr:col>
      <xdr:colOff>9525</xdr:colOff>
      <xdr:row>13</xdr:row>
      <xdr:rowOff>19050</xdr:rowOff>
    </xdr:from>
    <xdr:to>
      <xdr:col>28</xdr:col>
      <xdr:colOff>533400</xdr:colOff>
      <xdr:row>21</xdr:row>
      <xdr:rowOff>9156</xdr:rowOff>
    </xdr:to>
    <xdr:pic>
      <xdr:nvPicPr>
        <xdr:cNvPr id="4" name="Picture 3">
          <a:extLst>
            <a:ext uri="{FF2B5EF4-FFF2-40B4-BE49-F238E27FC236}">
              <a16:creationId xmlns:a16="http://schemas.microsoft.com/office/drawing/2014/main" id="{533516F5-DAB9-8F15-E697-74FB751654BA}"/>
            </a:ext>
          </a:extLst>
        </xdr:cNvPr>
        <xdr:cNvPicPr>
          <a:picLocks noChangeAspect="1"/>
        </xdr:cNvPicPr>
      </xdr:nvPicPr>
      <xdr:blipFill>
        <a:blip xmlns:r="http://schemas.openxmlformats.org/officeDocument/2006/relationships" r:embed="rId2"/>
        <a:stretch>
          <a:fillRect/>
        </a:stretch>
      </xdr:blipFill>
      <xdr:spPr>
        <a:xfrm>
          <a:off x="7991475" y="2876550"/>
          <a:ext cx="7553325" cy="1514106"/>
        </a:xfrm>
        <a:prstGeom prst="rect">
          <a:avLst/>
        </a:prstGeom>
        <a:ln>
          <a:solidFill>
            <a:sysClr val="windowText" lastClr="000000"/>
          </a:solidFill>
        </a:ln>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064F6-1B2D-4386-8F97-9A6BAB35722D}">
  <sheetPr>
    <tabColor rgb="FFB3E2F7"/>
    <pageSetUpPr autoPageBreaks="0"/>
  </sheetPr>
  <dimension ref="A1:AE51"/>
  <sheetViews>
    <sheetView showGridLines="0" tabSelected="1" topLeftCell="A4" workbookViewId="0">
      <selection activeCell="O29" sqref="O29"/>
    </sheetView>
  </sheetViews>
  <sheetFormatPr defaultRowHeight="15" x14ac:dyDescent="0.25"/>
  <cols>
    <col min="1" max="1" width="7" customWidth="1"/>
    <col min="2" max="2" width="3.42578125" customWidth="1"/>
    <col min="3" max="3" width="10" customWidth="1"/>
    <col min="4" max="4" width="10.5703125" customWidth="1"/>
    <col min="5" max="5" width="13.7109375" customWidth="1"/>
    <col min="6" max="6" width="14.7109375" customWidth="1"/>
    <col min="7" max="7" width="11" customWidth="1"/>
    <col min="8" max="8" width="14.28515625" customWidth="1"/>
    <col min="9" max="9" width="11.5703125" customWidth="1"/>
    <col min="10" max="10" width="11.28515625" customWidth="1"/>
    <col min="16" max="16" width="10.42578125" customWidth="1"/>
    <col min="20" max="20" width="11" customWidth="1"/>
    <col min="21" max="22" width="9.85546875" customWidth="1"/>
    <col min="23" max="23" width="12" customWidth="1"/>
    <col min="24" max="24" width="9.7109375" customWidth="1"/>
    <col min="25" max="25" width="10.28515625" customWidth="1"/>
  </cols>
  <sheetData>
    <row r="1" spans="1:31" s="37" customFormat="1" x14ac:dyDescent="0.25">
      <c r="A1" s="313"/>
      <c r="B1" s="294"/>
      <c r="C1" s="303"/>
      <c r="D1" s="303"/>
      <c r="E1" s="303"/>
      <c r="F1" s="318" t="s">
        <v>207</v>
      </c>
      <c r="G1" s="318"/>
      <c r="H1" s="318"/>
      <c r="I1" s="318"/>
      <c r="J1" s="318"/>
      <c r="K1" s="318"/>
      <c r="L1" s="318"/>
      <c r="M1" s="318"/>
      <c r="N1" s="304"/>
      <c r="O1" s="304"/>
      <c r="P1" s="304"/>
      <c r="Q1" s="304"/>
      <c r="R1" s="304"/>
      <c r="S1" s="95" t="s">
        <v>69</v>
      </c>
      <c r="T1" s="310"/>
      <c r="U1" s="96"/>
      <c r="V1" s="292"/>
      <c r="W1" s="292"/>
      <c r="X1" s="292"/>
      <c r="Y1" s="292"/>
      <c r="Z1" s="305"/>
      <c r="AA1" s="305"/>
      <c r="AB1" s="305"/>
      <c r="AC1" s="292"/>
      <c r="AD1" s="306"/>
    </row>
    <row r="2" spans="1:31" s="37" customFormat="1" x14ac:dyDescent="0.25">
      <c r="A2" s="302"/>
      <c r="B2" s="294"/>
      <c r="C2" s="294"/>
      <c r="D2" s="294"/>
      <c r="E2" s="294"/>
      <c r="F2" s="93" t="s">
        <v>0</v>
      </c>
      <c r="G2" s="332"/>
      <c r="H2" s="332"/>
      <c r="I2" s="332"/>
      <c r="J2" s="332"/>
      <c r="K2" s="319" t="s">
        <v>1</v>
      </c>
      <c r="L2" s="319"/>
      <c r="M2" s="319"/>
      <c r="N2" s="332"/>
      <c r="O2" s="332"/>
      <c r="P2" s="332"/>
      <c r="Q2" s="332"/>
      <c r="R2" s="293"/>
      <c r="S2" s="93"/>
      <c r="T2" s="295"/>
      <c r="U2" s="295"/>
      <c r="V2" s="296"/>
      <c r="W2" s="296"/>
      <c r="X2" s="296"/>
      <c r="Y2" s="296"/>
      <c r="Z2" s="297"/>
      <c r="AA2" s="93"/>
      <c r="AB2" s="295"/>
      <c r="AC2" s="296"/>
      <c r="AD2" s="307"/>
    </row>
    <row r="3" spans="1:31" s="37" customFormat="1" x14ac:dyDescent="0.25">
      <c r="A3" s="302"/>
      <c r="B3" s="294"/>
      <c r="C3" s="294"/>
      <c r="D3" s="294"/>
      <c r="E3" s="294"/>
      <c r="F3" s="93" t="s">
        <v>2</v>
      </c>
      <c r="G3" s="332"/>
      <c r="H3" s="332"/>
      <c r="I3" s="332"/>
      <c r="J3" s="332"/>
      <c r="K3" s="319" t="s">
        <v>3</v>
      </c>
      <c r="L3" s="319"/>
      <c r="M3" s="319"/>
      <c r="N3" s="332"/>
      <c r="O3" s="332"/>
      <c r="P3" s="332"/>
      <c r="Q3" s="332"/>
      <c r="R3" s="293"/>
      <c r="S3" s="93"/>
      <c r="T3" s="295"/>
      <c r="U3" s="295"/>
      <c r="V3" s="296"/>
      <c r="W3" s="296"/>
      <c r="X3" s="296"/>
      <c r="Y3" s="296"/>
      <c r="Z3" s="297"/>
      <c r="AA3" s="93"/>
      <c r="AB3" s="295"/>
      <c r="AC3" s="296"/>
      <c r="AD3" s="307"/>
    </row>
    <row r="4" spans="1:31" s="37" customFormat="1" ht="15.75" thickBot="1" x14ac:dyDescent="0.3">
      <c r="A4" s="308"/>
      <c r="B4" s="299"/>
      <c r="C4" s="299"/>
      <c r="D4" s="299"/>
      <c r="E4" s="299"/>
      <c r="F4" s="94" t="s">
        <v>4</v>
      </c>
      <c r="G4" s="333"/>
      <c r="H4" s="333"/>
      <c r="I4" s="333"/>
      <c r="J4" s="333"/>
      <c r="K4" s="298"/>
      <c r="L4" s="298"/>
      <c r="M4" s="298"/>
      <c r="N4" s="298"/>
      <c r="O4" s="298"/>
      <c r="P4" s="298"/>
      <c r="Q4" s="298"/>
      <c r="R4" s="298"/>
      <c r="S4" s="298"/>
      <c r="T4" s="300"/>
      <c r="U4" s="300"/>
      <c r="V4" s="300"/>
      <c r="W4" s="300"/>
      <c r="X4" s="300"/>
      <c r="Y4" s="300"/>
      <c r="Z4" s="301"/>
      <c r="AA4" s="301"/>
      <c r="AB4" s="301"/>
      <c r="AC4" s="300"/>
      <c r="AD4" s="309"/>
    </row>
    <row r="5" spans="1:31" ht="11.25" customHeight="1" thickBot="1" x14ac:dyDescent="0.3">
      <c r="F5" s="131"/>
      <c r="G5" s="132"/>
      <c r="H5" s="133"/>
      <c r="K5" s="133"/>
      <c r="L5" s="133"/>
      <c r="M5" s="133"/>
      <c r="N5" s="133"/>
      <c r="O5" s="133"/>
      <c r="P5" s="133"/>
      <c r="Q5" s="133"/>
      <c r="R5" s="133"/>
      <c r="S5" s="133"/>
      <c r="T5" s="134"/>
      <c r="U5" s="134"/>
      <c r="V5" s="134"/>
      <c r="W5" s="134"/>
      <c r="X5" s="134"/>
      <c r="Y5" s="134"/>
      <c r="Z5" s="135"/>
      <c r="AA5" s="135"/>
      <c r="AB5" s="135"/>
      <c r="AC5" s="134"/>
      <c r="AD5" s="134"/>
    </row>
    <row r="6" spans="1:31" ht="11.25" customHeight="1" x14ac:dyDescent="0.25">
      <c r="C6" s="323" t="s">
        <v>206</v>
      </c>
      <c r="D6" s="324"/>
      <c r="E6" s="324"/>
      <c r="F6" s="324"/>
      <c r="G6" s="324"/>
      <c r="H6" s="324"/>
      <c r="I6" s="324"/>
      <c r="J6" s="324"/>
      <c r="K6" s="324"/>
      <c r="L6" s="324"/>
      <c r="M6" s="324"/>
      <c r="N6" s="324"/>
      <c r="O6" s="324"/>
      <c r="P6" s="324"/>
      <c r="Q6" s="324"/>
      <c r="R6" s="324"/>
      <c r="S6" s="324"/>
      <c r="T6" s="324"/>
      <c r="U6" s="325"/>
      <c r="V6" s="312"/>
      <c r="W6" s="311"/>
      <c r="X6" s="311"/>
      <c r="Y6" s="311"/>
      <c r="Z6" s="311"/>
      <c r="AA6" s="135"/>
      <c r="AB6" s="135"/>
      <c r="AC6" s="134"/>
      <c r="AD6" s="134"/>
    </row>
    <row r="7" spans="1:31" ht="15.75" customHeight="1" x14ac:dyDescent="0.25">
      <c r="C7" s="326"/>
      <c r="D7" s="327"/>
      <c r="E7" s="327"/>
      <c r="F7" s="327"/>
      <c r="G7" s="327"/>
      <c r="H7" s="327"/>
      <c r="I7" s="327"/>
      <c r="J7" s="327"/>
      <c r="K7" s="327"/>
      <c r="L7" s="327"/>
      <c r="M7" s="327"/>
      <c r="N7" s="327"/>
      <c r="O7" s="327"/>
      <c r="P7" s="327"/>
      <c r="Q7" s="327"/>
      <c r="R7" s="327"/>
      <c r="S7" s="327"/>
      <c r="T7" s="327"/>
      <c r="U7" s="328"/>
      <c r="V7" s="312"/>
      <c r="W7" s="311"/>
      <c r="X7" s="311"/>
      <c r="Y7" s="311"/>
      <c r="Z7" s="311"/>
      <c r="AB7" s="135"/>
      <c r="AC7" s="134"/>
      <c r="AD7" s="134"/>
    </row>
    <row r="8" spans="1:31" ht="15" customHeight="1" x14ac:dyDescent="0.25">
      <c r="C8" s="326"/>
      <c r="D8" s="327"/>
      <c r="E8" s="327"/>
      <c r="F8" s="327"/>
      <c r="G8" s="327"/>
      <c r="H8" s="327"/>
      <c r="I8" s="327"/>
      <c r="J8" s="327"/>
      <c r="K8" s="327"/>
      <c r="L8" s="327"/>
      <c r="M8" s="327"/>
      <c r="N8" s="327"/>
      <c r="O8" s="327"/>
      <c r="P8" s="327"/>
      <c r="Q8" s="327"/>
      <c r="R8" s="327"/>
      <c r="S8" s="327"/>
      <c r="T8" s="327"/>
      <c r="U8" s="328"/>
      <c r="V8" s="312"/>
      <c r="W8" s="311"/>
      <c r="X8" s="311"/>
      <c r="Y8" s="311"/>
      <c r="Z8" s="311"/>
    </row>
    <row r="9" spans="1:31" ht="21.75" customHeight="1" thickBot="1" x14ac:dyDescent="0.3">
      <c r="C9" s="329"/>
      <c r="D9" s="330"/>
      <c r="E9" s="330"/>
      <c r="F9" s="330"/>
      <c r="G9" s="330"/>
      <c r="H9" s="330"/>
      <c r="I9" s="330"/>
      <c r="J9" s="330"/>
      <c r="K9" s="330"/>
      <c r="L9" s="330"/>
      <c r="M9" s="330"/>
      <c r="N9" s="330"/>
      <c r="O9" s="330"/>
      <c r="P9" s="330"/>
      <c r="Q9" s="330"/>
      <c r="R9" s="330"/>
      <c r="S9" s="330"/>
      <c r="T9" s="330"/>
      <c r="U9" s="331"/>
      <c r="V9" s="312"/>
      <c r="W9" s="311"/>
      <c r="X9" s="311"/>
      <c r="Y9" s="311"/>
      <c r="Z9" s="311"/>
    </row>
    <row r="10" spans="1:31" ht="15" customHeight="1" thickBot="1" x14ac:dyDescent="0.3">
      <c r="D10" s="136"/>
      <c r="E10" s="136"/>
      <c r="F10" s="136"/>
      <c r="G10" s="136"/>
      <c r="H10" s="136"/>
      <c r="I10" s="136"/>
      <c r="J10" s="136"/>
      <c r="K10" s="136"/>
      <c r="L10" s="136"/>
      <c r="M10" s="284" t="s">
        <v>204</v>
      </c>
      <c r="U10" s="136"/>
      <c r="V10" s="136"/>
      <c r="X10" s="136"/>
      <c r="Y10" s="136"/>
      <c r="Z10" s="136"/>
      <c r="AA10" s="136"/>
      <c r="AD10" s="47"/>
      <c r="AE10" s="47"/>
    </row>
    <row r="11" spans="1:31" ht="15.75" customHeight="1" x14ac:dyDescent="0.25">
      <c r="D11" s="136"/>
      <c r="E11" s="334" t="s">
        <v>203</v>
      </c>
      <c r="F11" s="335"/>
      <c r="G11" s="335"/>
      <c r="H11" s="335"/>
      <c r="I11" s="336"/>
      <c r="J11" s="136"/>
      <c r="V11" s="136"/>
      <c r="W11" s="136"/>
      <c r="X11" s="136"/>
      <c r="Y11" s="136"/>
      <c r="Z11" s="136"/>
      <c r="AA11" s="136"/>
      <c r="AD11" s="47"/>
      <c r="AE11" s="47"/>
    </row>
    <row r="12" spans="1:31" ht="15" customHeight="1" thickBot="1" x14ac:dyDescent="0.3">
      <c r="E12" s="337"/>
      <c r="F12" s="338"/>
      <c r="G12" s="338"/>
      <c r="H12" s="338"/>
      <c r="I12" s="339"/>
      <c r="J12" s="47"/>
      <c r="W12" s="47"/>
      <c r="X12" s="47"/>
      <c r="Y12" s="47"/>
      <c r="Z12" s="47"/>
      <c r="AA12" s="47"/>
      <c r="AB12" s="47"/>
      <c r="AC12" s="47"/>
    </row>
    <row r="13" spans="1:31" ht="15" customHeight="1" thickBot="1" x14ac:dyDescent="0.3">
      <c r="E13" s="130"/>
      <c r="F13" s="130"/>
      <c r="G13" s="130"/>
      <c r="H13" s="130"/>
      <c r="I13" s="47"/>
      <c r="J13" s="47"/>
      <c r="K13" s="47"/>
      <c r="L13" s="320" t="s">
        <v>200</v>
      </c>
      <c r="M13" s="321"/>
      <c r="N13" s="321"/>
      <c r="O13" s="321"/>
      <c r="P13" s="321"/>
      <c r="Q13" s="321"/>
      <c r="R13" s="321"/>
      <c r="S13" s="321"/>
      <c r="T13" s="321"/>
      <c r="U13" s="322"/>
      <c r="W13" s="47"/>
      <c r="X13" s="47"/>
      <c r="Y13" s="47"/>
      <c r="Z13" s="47"/>
      <c r="AA13" s="47"/>
      <c r="AB13" s="47"/>
      <c r="AC13" s="47"/>
    </row>
    <row r="14" spans="1:31" ht="47.25" customHeight="1" thickBot="1" x14ac:dyDescent="0.3">
      <c r="E14" s="39" t="s">
        <v>16</v>
      </c>
      <c r="F14" s="38" t="s">
        <v>132</v>
      </c>
      <c r="G14" s="38" t="s">
        <v>15</v>
      </c>
      <c r="H14" s="39" t="s">
        <v>133</v>
      </c>
      <c r="I14" s="39" t="s">
        <v>134</v>
      </c>
      <c r="J14" s="38" t="s">
        <v>135</v>
      </c>
      <c r="W14" s="50"/>
    </row>
    <row r="15" spans="1:31" ht="17.25" customHeight="1" thickBot="1" x14ac:dyDescent="0.3">
      <c r="C15" s="316" t="s">
        <v>49</v>
      </c>
      <c r="D15" s="317"/>
      <c r="E15" s="62"/>
      <c r="F15" s="63"/>
      <c r="G15" s="211" t="str">
        <f>IF(OR(AND(F15&lt;25,E15&gt;1999,E15&lt;2005),AND(F15&gt;=25,F15&lt;50,E15&gt;1998,E15&lt;2004),AND(F15&gt;=50,F15&lt;100,E15&gt;1997,E15&lt;2004),AND(F15&gt;=100,F15&lt;175,E15&gt;1996,E15&lt;2003),AND(F15&gt;=175,F15&lt;300,E15&gt;1995,E15&lt;2003),AND(F15&gt;=300,F15&lt;600,E15&gt;1995,E15&lt;2001),AND(F15&gt;=600,F15&lt;750,E15&gt;1995,E15&lt;2002),AND(F15&gt;=750,E15&gt;1999,E15&lt;2006)),"Tier 1",IF(OR(AND(F15&lt;25,E15&gt;2004,E15&lt;2008),AND(F15&gt;=25,F15&lt;100,E15&gt;2003,E15&lt;2008),AND(F15&gt;=100,F15&lt;175,E15&gt;2002,E15&lt;2007),AND(F15&gt;=175,F15&lt;300,E15&gt;2002,E15&lt;2006),AND(F15&gt;=300,F15&lt;600,E15&gt;2000,E15&lt;2006),AND(F15&gt;=600,F15&lt;750,E15&gt;2001,E15&lt;2006),AND(F15&gt;=750,E15&gt;2005,E15&lt;2011)),"Tier 2",IF(OR(AND(F15&gt;=50,F15&lt;75,E15&gt;2007,E15&lt;2013),AND(F15&gt;=75,F15&lt;100,E15&gt;2007,E15&lt;2012),AND(F15&gt;=100,F15&lt;175,E15&gt;2006,E15&lt;2012),AND(F15&gt;=175,F15&lt;750,E15&gt;2005,E15&lt;2011)),"Tier 3",IF(OR(AND(F15&lt;50,E15&gt;2007),AND(F15&gt;=50,F15&lt;75,E15&gt;2012),AND(F15&gt;=75,F15&lt;175,E15&gt;2011),AND(F15&gt;=175,E15&gt;2010)),"Tier 4",IF(OR(E15="",F15=""),"","Tier 0")))))</f>
        <v/>
      </c>
      <c r="H15" s="108" t="str">
        <f>IF('Monthly Tracker'!$P9&gt;0,'Monthly Tracker'!$P9,"")</f>
        <v/>
      </c>
      <c r="I15" s="108" t="str">
        <f>IF('Monthly Tracker'!$P10&gt;0,'Monthly Tracker'!$P10,"")</f>
        <v/>
      </c>
      <c r="J15" s="68" t="s">
        <v>35</v>
      </c>
      <c r="S15" s="366" t="s">
        <v>205</v>
      </c>
      <c r="T15" s="367"/>
      <c r="U15" s="368"/>
    </row>
    <row r="16" spans="1:31" ht="17.25" customHeight="1" thickBot="1" x14ac:dyDescent="0.3">
      <c r="C16" s="316" t="s">
        <v>50</v>
      </c>
      <c r="D16" s="317"/>
      <c r="E16" s="64"/>
      <c r="F16" s="65"/>
      <c r="G16" s="193" t="str">
        <f t="shared" ref="G16:G29" si="0">IF(OR(AND(F16&lt;25,E16&gt;1999,E16&lt;2005),AND(F16&gt;=25,F16&lt;50,E16&gt;1998,E16&lt;2004),AND(F16&gt;=50,F16&lt;100,E16&gt;1997,E16&lt;2004),AND(F16&gt;=100,F16&lt;175,E16&gt;1996,E16&lt;2003),AND(F16&gt;=175,F16&lt;300,E16&gt;1995,E16&lt;2003),AND(F16&gt;=300,F16&lt;600,E16&gt;1995,E16&lt;2001),AND(F16&gt;=600,F16&lt;750,E16&gt;1995,E16&lt;2002),AND(F16&gt;=750,E16&gt;1999,E16&lt;2006)),"Tier 1",IF(OR(AND(F16&lt;25,E16&gt;2004,E16&lt;2008),AND(F16&gt;=25,F16&lt;100,E16&gt;2003,E16&lt;2008),AND(F16&gt;=100,F16&lt;175,E16&gt;2002,E16&lt;2007),AND(F16&gt;=175,F16&lt;300,E16&gt;2002,E16&lt;2006),AND(F16&gt;=300,F16&lt;600,E16&gt;2000,E16&lt;2006),AND(F16&gt;=600,F16&lt;750,E16&gt;2001,E16&lt;2006),AND(F16&gt;=750,E16&gt;2005,E16&lt;2011)),"Tier 2",IF(OR(AND(F16&gt;=50,F16&lt;75,E16&gt;2007,E16&lt;2013),AND(F16&gt;=75,F16&lt;100,E16&gt;2007,E16&lt;2012),AND(F16&gt;=100,F16&lt;175,E16&gt;2006,E16&lt;2012),AND(F16&gt;=175,F16&lt;750,E16&gt;2005,E16&lt;2011)),"Tier 3",IF(OR(AND(F16&lt;50,E16&gt;2007),AND(F16&gt;=50,F16&lt;75,E16&gt;2012),AND(F16&gt;=75,F16&lt;175,E16&gt;2011),AND(F16&gt;=175,E16&gt;2010)),"Tier 4",IF(OR(E16="",F16=""),"","Tier 0")))))</f>
        <v/>
      </c>
      <c r="H16" s="108" t="str">
        <f>IF('Monthly Tracker'!P12&gt;0,'Monthly Tracker'!P12,"")</f>
        <v/>
      </c>
      <c r="I16" s="108" t="str">
        <f>IF('Monthly Tracker'!$P13&gt;0,'Monthly Tracker'!$P13,"")</f>
        <v/>
      </c>
      <c r="J16" s="69" t="s">
        <v>36</v>
      </c>
      <c r="N16" s="340" t="s">
        <v>5</v>
      </c>
      <c r="O16" s="341"/>
      <c r="P16" s="346" t="s">
        <v>6</v>
      </c>
      <c r="Q16" s="347"/>
      <c r="S16" s="369"/>
      <c r="T16" s="370"/>
      <c r="U16" s="371"/>
    </row>
    <row r="17" spans="3:25" ht="17.25" customHeight="1" thickBot="1" x14ac:dyDescent="0.3">
      <c r="C17" s="316" t="s">
        <v>51</v>
      </c>
      <c r="D17" s="317"/>
      <c r="E17" s="64"/>
      <c r="F17" s="65"/>
      <c r="G17" s="193" t="str">
        <f t="shared" si="0"/>
        <v/>
      </c>
      <c r="H17" s="108" t="str">
        <f>IF('Monthly Tracker'!P15&gt;0,'Monthly Tracker'!P15,"")</f>
        <v/>
      </c>
      <c r="I17" s="108" t="str">
        <f>IF('Monthly Tracker'!$P16&gt;0,'Monthly Tracker'!$P16,"")</f>
        <v/>
      </c>
      <c r="J17" s="69" t="s">
        <v>35</v>
      </c>
      <c r="M17" s="1"/>
      <c r="N17" s="342"/>
      <c r="O17" s="343"/>
      <c r="P17" s="348"/>
      <c r="Q17" s="349"/>
      <c r="R17" s="2"/>
      <c r="S17" s="372"/>
      <c r="T17" s="373"/>
      <c r="U17" s="374"/>
    </row>
    <row r="18" spans="3:25" ht="17.25" customHeight="1" thickBot="1" x14ac:dyDescent="0.3">
      <c r="C18" s="316" t="s">
        <v>52</v>
      </c>
      <c r="D18" s="317"/>
      <c r="E18" s="64"/>
      <c r="F18" s="65"/>
      <c r="G18" s="193" t="str">
        <f t="shared" si="0"/>
        <v/>
      </c>
      <c r="H18" s="108" t="str">
        <f>IF('Monthly Tracker'!P18&gt;0,'Monthly Tracker'!P18,"")</f>
        <v/>
      </c>
      <c r="I18" s="108" t="str">
        <f>IF('Monthly Tracker'!$P19&gt;0,'Monthly Tracker'!$P19,"")</f>
        <v/>
      </c>
      <c r="J18" s="69" t="s">
        <v>36</v>
      </c>
      <c r="M18" s="1"/>
      <c r="N18" s="344"/>
      <c r="O18" s="345"/>
      <c r="P18" s="350"/>
      <c r="Q18" s="351"/>
      <c r="R18" s="2"/>
      <c r="V18" s="37"/>
    </row>
    <row r="19" spans="3:25" ht="17.25" customHeight="1" thickBot="1" x14ac:dyDescent="0.3">
      <c r="C19" s="316" t="s">
        <v>53</v>
      </c>
      <c r="D19" s="317"/>
      <c r="E19" s="64"/>
      <c r="F19" s="65"/>
      <c r="G19" s="193" t="str">
        <f t="shared" si="0"/>
        <v/>
      </c>
      <c r="H19" s="108" t="str">
        <f>IF('Monthly Tracker'!P21&gt;0,'Monthly Tracker'!P21,"")</f>
        <v/>
      </c>
      <c r="I19" s="108" t="str">
        <f>IF('Monthly Tracker'!$P22&gt;0,'Monthly Tracker'!$P22,"")</f>
        <v/>
      </c>
      <c r="J19" s="69" t="s">
        <v>35</v>
      </c>
      <c r="M19" s="1"/>
      <c r="N19" s="357" t="s">
        <v>7</v>
      </c>
      <c r="O19" s="358"/>
      <c r="P19" s="379" t="s">
        <v>7</v>
      </c>
      <c r="Q19" s="380"/>
      <c r="R19" s="2"/>
      <c r="S19" s="2"/>
      <c r="T19" s="2"/>
      <c r="V19" s="37"/>
    </row>
    <row r="20" spans="3:25" ht="17.25" customHeight="1" thickBot="1" x14ac:dyDescent="0.3">
      <c r="C20" s="316" t="s">
        <v>54</v>
      </c>
      <c r="D20" s="317"/>
      <c r="E20" s="64"/>
      <c r="F20" s="65"/>
      <c r="G20" s="193" t="str">
        <f t="shared" si="0"/>
        <v/>
      </c>
      <c r="H20" s="108" t="str">
        <f>IF('Monthly Tracker'!P24&gt;0,'Monthly Tracker'!P24,"")</f>
        <v/>
      </c>
      <c r="I20" s="108" t="str">
        <f>IF('Monthly Tracker'!$P25&gt;0,'Monthly Tracker'!$P25,"")</f>
        <v/>
      </c>
      <c r="J20" s="69" t="s">
        <v>36</v>
      </c>
      <c r="M20" s="263" t="s">
        <v>24</v>
      </c>
      <c r="N20" s="359"/>
      <c r="O20" s="360"/>
      <c r="P20" s="377">
        <f>Tier0_PM10+Tier1_PM10+Tier2_PM10+Tier3_PM10+Tier4_PM10</f>
        <v>0</v>
      </c>
      <c r="Q20" s="378"/>
      <c r="R20" s="363" t="str">
        <f>IF(AND(N20&gt;0,P20&gt;0,P20&lt;N20),"In Compliance",IF(AND(N20&gt;0,P20&gt;0,P20&gt;N20),"Not In Compliance",""))</f>
        <v/>
      </c>
      <c r="S20" s="364"/>
      <c r="T20" s="365"/>
    </row>
    <row r="21" spans="3:25" ht="17.25" customHeight="1" thickBot="1" x14ac:dyDescent="0.3">
      <c r="C21" s="316" t="s">
        <v>55</v>
      </c>
      <c r="D21" s="317"/>
      <c r="E21" s="64"/>
      <c r="F21" s="65"/>
      <c r="G21" s="193" t="str">
        <f t="shared" si="0"/>
        <v/>
      </c>
      <c r="H21" s="108" t="str">
        <f>IF('Monthly Tracker'!P27&gt;0,'Monthly Tracker'!P27,"")</f>
        <v/>
      </c>
      <c r="I21" s="108" t="str">
        <f>IF('Monthly Tracker'!$P28&gt;0,'Monthly Tracker'!$P28,"")</f>
        <v/>
      </c>
      <c r="J21" s="69" t="s">
        <v>35</v>
      </c>
      <c r="M21" s="3" t="s">
        <v>25</v>
      </c>
      <c r="N21" s="361"/>
      <c r="O21" s="362"/>
      <c r="P21" s="381">
        <f>Tier0_PM2.5+Tier1_PM2.5+Tier2_PM2.5+Tier3_PM2.5+Tier4_PM2.5</f>
        <v>0</v>
      </c>
      <c r="Q21" s="382"/>
      <c r="R21" s="387" t="str">
        <f t="shared" ref="R21:R26" si="1">IF(AND(N21&gt;0,P21&gt;0,P21&lt;N21),"In Compliance",IF(AND(N21&gt;0,P21&gt;0,P21&gt;N21),"Not In Compliance",""))</f>
        <v/>
      </c>
      <c r="S21" s="388"/>
      <c r="T21" s="389"/>
    </row>
    <row r="22" spans="3:25" ht="17.25" customHeight="1" thickBot="1" x14ac:dyDescent="0.3">
      <c r="C22" s="316" t="s">
        <v>56</v>
      </c>
      <c r="D22" s="317"/>
      <c r="E22" s="64"/>
      <c r="F22" s="65"/>
      <c r="G22" s="193" t="str">
        <f t="shared" si="0"/>
        <v/>
      </c>
      <c r="H22" s="108" t="str">
        <f>IF('Monthly Tracker'!P30&gt;0,'Monthly Tracker'!P30,"")</f>
        <v/>
      </c>
      <c r="I22" s="108" t="str">
        <f>IF('Monthly Tracker'!$P31&gt;0,'Monthly Tracker'!$P31,"")</f>
        <v/>
      </c>
      <c r="J22" s="69" t="s">
        <v>36</v>
      </c>
      <c r="M22" s="3" t="s">
        <v>26</v>
      </c>
      <c r="N22" s="361"/>
      <c r="O22" s="362"/>
      <c r="P22" s="383">
        <f>Tier0_SO2+Tier1_SO2+Tier2_SO2+Tier3_SO2+Tier4_SO2</f>
        <v>0</v>
      </c>
      <c r="Q22" s="384"/>
      <c r="R22" s="387" t="str">
        <f t="shared" si="1"/>
        <v/>
      </c>
      <c r="S22" s="388"/>
      <c r="T22" s="389"/>
    </row>
    <row r="23" spans="3:25" ht="17.25" customHeight="1" thickBot="1" x14ac:dyDescent="0.3">
      <c r="C23" s="316" t="s">
        <v>57</v>
      </c>
      <c r="D23" s="317"/>
      <c r="E23" s="64"/>
      <c r="F23" s="65"/>
      <c r="G23" s="193" t="str">
        <f t="shared" si="0"/>
        <v/>
      </c>
      <c r="H23" s="108" t="str">
        <f>IF('Monthly Tracker'!P33&gt;0,'Monthly Tracker'!P33,"")</f>
        <v/>
      </c>
      <c r="I23" s="108" t="str">
        <f>IF('Monthly Tracker'!$P34&gt;0,'Monthly Tracker'!$P34,"")</f>
        <v/>
      </c>
      <c r="J23" s="69" t="s">
        <v>35</v>
      </c>
      <c r="M23" s="3" t="s">
        <v>20</v>
      </c>
      <c r="N23" s="361"/>
      <c r="O23" s="362"/>
      <c r="P23" s="381">
        <f>Tier0_NOx+Tier1_NOx+Tier2_NOx+Tier3_NOx+Tier4_NOx</f>
        <v>0</v>
      </c>
      <c r="Q23" s="382"/>
      <c r="R23" s="387" t="str">
        <f t="shared" si="1"/>
        <v/>
      </c>
      <c r="S23" s="388"/>
      <c r="T23" s="389"/>
    </row>
    <row r="24" spans="3:25" ht="17.25" customHeight="1" thickBot="1" x14ac:dyDescent="0.3">
      <c r="C24" s="316" t="s">
        <v>58</v>
      </c>
      <c r="D24" s="317"/>
      <c r="E24" s="64"/>
      <c r="F24" s="65"/>
      <c r="G24" s="193" t="str">
        <f t="shared" si="0"/>
        <v/>
      </c>
      <c r="H24" s="108" t="str">
        <f>IF('Monthly Tracker'!P36&gt;0,'Monthly Tracker'!P36,"")</f>
        <v/>
      </c>
      <c r="I24" s="108" t="str">
        <f>IF('Monthly Tracker'!$P37&gt;0,'Monthly Tracker'!$P37,"")</f>
        <v/>
      </c>
      <c r="J24" s="69" t="s">
        <v>36</v>
      </c>
      <c r="M24" s="3" t="s">
        <v>8</v>
      </c>
      <c r="N24" s="361"/>
      <c r="O24" s="362"/>
      <c r="P24" s="381">
        <f>Tier0_VOC+Tier1_VOC+Tier2_VOC+Tier3_VOC+Tier4_VOC</f>
        <v>0</v>
      </c>
      <c r="Q24" s="382"/>
      <c r="R24" s="387" t="str">
        <f t="shared" si="1"/>
        <v/>
      </c>
      <c r="S24" s="388"/>
      <c r="T24" s="389"/>
      <c r="W24" s="354" t="s">
        <v>66</v>
      </c>
      <c r="X24" s="355"/>
      <c r="Y24" s="356"/>
    </row>
    <row r="25" spans="3:25" ht="17.25" customHeight="1" thickBot="1" x14ac:dyDescent="0.3">
      <c r="C25" s="316" t="s">
        <v>59</v>
      </c>
      <c r="D25" s="317"/>
      <c r="E25" s="64"/>
      <c r="F25" s="65"/>
      <c r="G25" s="193" t="str">
        <f t="shared" si="0"/>
        <v/>
      </c>
      <c r="H25" s="108" t="str">
        <f>IF('Monthly Tracker'!P39&gt;0,'Monthly Tracker'!P39,"")</f>
        <v/>
      </c>
      <c r="I25" s="108" t="str">
        <f>IF('Monthly Tracker'!$P40&gt;0,'Monthly Tracker'!$P40,"")</f>
        <v/>
      </c>
      <c r="J25" s="69" t="s">
        <v>36</v>
      </c>
      <c r="M25" s="3" t="s">
        <v>22</v>
      </c>
      <c r="N25" s="361"/>
      <c r="O25" s="362"/>
      <c r="P25" s="381">
        <f>Tier0_CO+Tier1_CO+Tier2_CO+Tier3_CO+Tier4_CO</f>
        <v>0</v>
      </c>
      <c r="Q25" s="382"/>
      <c r="R25" s="387" t="str">
        <f t="shared" si="1"/>
        <v/>
      </c>
      <c r="S25" s="388"/>
      <c r="T25" s="389"/>
      <c r="W25" s="71"/>
      <c r="X25" s="352" t="s">
        <v>67</v>
      </c>
      <c r="Y25" s="353"/>
    </row>
    <row r="26" spans="3:25" ht="17.25" customHeight="1" thickBot="1" x14ac:dyDescent="0.3">
      <c r="C26" s="316" t="s">
        <v>60</v>
      </c>
      <c r="D26" s="317"/>
      <c r="E26" s="285"/>
      <c r="F26" s="286"/>
      <c r="G26" s="287" t="str">
        <f t="shared" si="0"/>
        <v/>
      </c>
      <c r="H26" s="288" t="str">
        <f>IF('Monthly Tracker'!P42&gt;0,'Monthly Tracker'!P42,"")</f>
        <v/>
      </c>
      <c r="I26" s="288" t="str">
        <f>IF('Monthly Tracker'!$P43&gt;0,'Monthly Tracker'!$P43,"")</f>
        <v/>
      </c>
      <c r="J26" s="289" t="s">
        <v>35</v>
      </c>
      <c r="M26" s="3" t="s">
        <v>23</v>
      </c>
      <c r="N26" s="375"/>
      <c r="O26" s="376"/>
      <c r="P26" s="385">
        <f>Tier0_TOX+Tier1_TOX+Tier2_TOX+Tier3_TOX+Tier4_TOX</f>
        <v>0</v>
      </c>
      <c r="Q26" s="386"/>
      <c r="R26" s="392" t="str">
        <f t="shared" si="1"/>
        <v/>
      </c>
      <c r="S26" s="393"/>
      <c r="T26" s="394"/>
      <c r="W26" s="49">
        <f>W25*1.34102</f>
        <v>0</v>
      </c>
      <c r="X26" s="390" t="s">
        <v>68</v>
      </c>
      <c r="Y26" s="391"/>
    </row>
    <row r="27" spans="3:25" ht="17.25" customHeight="1" thickBot="1" x14ac:dyDescent="0.3">
      <c r="C27" s="316" t="s">
        <v>61</v>
      </c>
      <c r="D27" s="317"/>
      <c r="E27" s="64"/>
      <c r="F27" s="65"/>
      <c r="G27" s="193" t="str">
        <f t="shared" si="0"/>
        <v/>
      </c>
      <c r="H27" s="108" t="str">
        <f>IF('Monthly Tracker'!P45&gt;0,'Monthly Tracker'!P45,"")</f>
        <v/>
      </c>
      <c r="I27" s="108" t="str">
        <f>IF('Monthly Tracker'!$P46&gt;0,'Monthly Tracker'!$P46,"")</f>
        <v/>
      </c>
      <c r="J27" s="69"/>
      <c r="K27" s="5"/>
      <c r="L27" s="5"/>
      <c r="M27" s="5"/>
      <c r="N27" s="5"/>
      <c r="O27" s="5"/>
      <c r="P27" s="5"/>
      <c r="Q27" s="5"/>
    </row>
    <row r="28" spans="3:25" ht="17.25" customHeight="1" thickBot="1" x14ac:dyDescent="0.3">
      <c r="C28" s="316" t="s">
        <v>62</v>
      </c>
      <c r="D28" s="317"/>
      <c r="E28" s="64"/>
      <c r="F28" s="65"/>
      <c r="G28" s="193" t="str">
        <f t="shared" si="0"/>
        <v/>
      </c>
      <c r="H28" s="108" t="str">
        <f>IF('Monthly Tracker'!P48&gt;0,'Monthly Tracker'!P48,"")</f>
        <v/>
      </c>
      <c r="I28" s="108" t="str">
        <f>IF('Monthly Tracker'!$P49&gt;0,'Monthly Tracker'!$P49,"")</f>
        <v/>
      </c>
      <c r="J28" s="69"/>
      <c r="K28" s="5"/>
    </row>
    <row r="29" spans="3:25" ht="17.25" customHeight="1" thickBot="1" x14ac:dyDescent="0.3">
      <c r="C29" s="316" t="s">
        <v>63</v>
      </c>
      <c r="D29" s="317"/>
      <c r="E29" s="64"/>
      <c r="F29" s="65"/>
      <c r="G29" s="193" t="str">
        <f t="shared" si="0"/>
        <v/>
      </c>
      <c r="H29" s="108" t="str">
        <f>IF('Monthly Tracker'!P51&gt;0,'Monthly Tracker'!P51,"")</f>
        <v/>
      </c>
      <c r="I29" s="108" t="str">
        <f>IF('Monthly Tracker'!$P52&gt;0,'Monthly Tracker'!$P52,"")</f>
        <v/>
      </c>
      <c r="J29" s="69"/>
      <c r="L29" s="36"/>
    </row>
    <row r="30" spans="3:25" ht="17.25" customHeight="1" thickBot="1" x14ac:dyDescent="0.3">
      <c r="C30" s="316" t="s">
        <v>184</v>
      </c>
      <c r="D30" s="317"/>
      <c r="E30" s="64"/>
      <c r="F30" s="65"/>
      <c r="G30" s="193" t="str">
        <f t="shared" ref="G30:G44" si="2">IF(OR(AND(F30&lt;25,E30&gt;1999,E30&lt;2005),AND(F30&gt;=25,F30&lt;50,E30&gt;1998,E30&lt;2004),AND(F30&gt;=50,F30&lt;100,E30&gt;1997,E30&lt;2004),AND(F30&gt;=100,F30&lt;175,E30&gt;1996,E30&lt;2003),AND(F30&gt;=175,F30&lt;300,E30&gt;1995,E30&lt;2003),AND(F30&gt;=300,F30&lt;600,E30&gt;1995,E30&lt;2001),AND(F30&gt;=600,F30&lt;750,E30&gt;1995,E30&lt;2002),AND(F30&gt;=750,E30&gt;1999,E30&lt;2006)),"Tier 1",IF(OR(AND(F30&lt;25,E30&gt;2004,E30&lt;2008),AND(F30&gt;=25,F30&lt;100,E30&gt;2003,E30&lt;2008),AND(F30&gt;=100,F30&lt;175,E30&gt;2002,E30&lt;2007),AND(F30&gt;=175,F30&lt;300,E30&gt;2002,E30&lt;2006),AND(F30&gt;=300,F30&lt;600,E30&gt;2000,E30&lt;2006),AND(F30&gt;=600,F30&lt;750,E30&gt;2001,E30&lt;2006),AND(F30&gt;=750,E30&gt;2005,E30&lt;2011)),"Tier 2",IF(OR(AND(F30&gt;=50,F30&lt;75,E30&gt;2007,E30&lt;2013),AND(F30&gt;=75,F30&lt;100,E30&gt;2007,E30&lt;2012),AND(F30&gt;=100,F30&lt;175,E30&gt;2006,E30&lt;2012),AND(F30&gt;=175,F30&lt;750,E30&gt;2005,E30&lt;2011)),"Tier 3",IF(OR(AND(F30&lt;50,E30&gt;2007),AND(F30&gt;=50,F30&lt;75,E30&gt;2012),AND(F30&gt;=75,F30&lt;175,E30&gt;2011),AND(F30&gt;=175,E30&gt;2010)),"Tier 4",IF(OR(E30="",F30=""),"","Tier 0")))))</f>
        <v/>
      </c>
      <c r="H30" s="108" t="str">
        <f>IF('Monthly Tracker'!P54&gt;0,'Monthly Tracker'!P54,"")</f>
        <v/>
      </c>
      <c r="I30" s="108" t="str">
        <f>IF('Monthly Tracker'!$P55&gt;0,'Monthly Tracker'!$P55,"")</f>
        <v/>
      </c>
      <c r="J30" s="69"/>
    </row>
    <row r="31" spans="3:25" ht="17.25" customHeight="1" thickBot="1" x14ac:dyDescent="0.3">
      <c r="C31" s="316" t="s">
        <v>185</v>
      </c>
      <c r="D31" s="317"/>
      <c r="E31" s="64"/>
      <c r="F31" s="65"/>
      <c r="G31" s="193" t="str">
        <f t="shared" si="2"/>
        <v/>
      </c>
      <c r="H31" s="108" t="str">
        <f>IF('Monthly Tracker'!P57&gt;0,'Monthly Tracker'!P57,"")</f>
        <v/>
      </c>
      <c r="I31" s="108" t="str">
        <f>IF('Monthly Tracker'!$P58&gt;0,'Monthly Tracker'!$P58,"")</f>
        <v/>
      </c>
      <c r="J31" s="69"/>
    </row>
    <row r="32" spans="3:25" ht="17.25" customHeight="1" thickBot="1" x14ac:dyDescent="0.3">
      <c r="C32" s="316" t="s">
        <v>186</v>
      </c>
      <c r="D32" s="317"/>
      <c r="E32" s="64"/>
      <c r="F32" s="65"/>
      <c r="G32" s="193" t="str">
        <f t="shared" si="2"/>
        <v/>
      </c>
      <c r="H32" s="108" t="str">
        <f>IF('Monthly Tracker'!P60&gt;0,'Monthly Tracker'!P60,"")</f>
        <v/>
      </c>
      <c r="I32" s="108" t="str">
        <f>IF('Monthly Tracker'!$P61&gt;0,'Monthly Tracker'!$P61,"")</f>
        <v/>
      </c>
      <c r="J32" s="69"/>
      <c r="M32" s="23"/>
    </row>
    <row r="33" spans="3:10" ht="17.25" customHeight="1" thickBot="1" x14ac:dyDescent="0.3">
      <c r="C33" s="316" t="s">
        <v>187</v>
      </c>
      <c r="D33" s="317"/>
      <c r="E33" s="64"/>
      <c r="F33" s="65"/>
      <c r="G33" s="193" t="str">
        <f t="shared" si="2"/>
        <v/>
      </c>
      <c r="H33" s="108" t="str">
        <f>IF('Monthly Tracker'!P63&gt;0,'Monthly Tracker'!P63,"")</f>
        <v/>
      </c>
      <c r="I33" s="108" t="str">
        <f>IF('Monthly Tracker'!$P64&gt;0,'Monthly Tracker'!$P64,"")</f>
        <v/>
      </c>
      <c r="J33" s="69"/>
    </row>
    <row r="34" spans="3:10" ht="17.25" customHeight="1" thickBot="1" x14ac:dyDescent="0.3">
      <c r="C34" s="316" t="s">
        <v>188</v>
      </c>
      <c r="D34" s="317"/>
      <c r="E34" s="64"/>
      <c r="F34" s="65"/>
      <c r="G34" s="193" t="str">
        <f t="shared" si="2"/>
        <v/>
      </c>
      <c r="H34" s="108" t="str">
        <f>IF('Monthly Tracker'!P66&gt;0,'Monthly Tracker'!P66,"")</f>
        <v/>
      </c>
      <c r="I34" s="108" t="str">
        <f>IF('Monthly Tracker'!$P67&gt;0,'Monthly Tracker'!$P67,"")</f>
        <v/>
      </c>
      <c r="J34" s="69"/>
    </row>
    <row r="35" spans="3:10" ht="17.25" customHeight="1" thickBot="1" x14ac:dyDescent="0.3">
      <c r="C35" s="316" t="s">
        <v>189</v>
      </c>
      <c r="D35" s="317"/>
      <c r="E35" s="64"/>
      <c r="F35" s="65"/>
      <c r="G35" s="193" t="str">
        <f t="shared" si="2"/>
        <v/>
      </c>
      <c r="H35" s="108" t="str">
        <f>IF('Monthly Tracker'!P69&gt;0,'Monthly Tracker'!P69,"")</f>
        <v/>
      </c>
      <c r="I35" s="108" t="str">
        <f>IF('Monthly Tracker'!$P70&gt;0,'Monthly Tracker'!$P70,"")</f>
        <v/>
      </c>
      <c r="J35" s="69"/>
    </row>
    <row r="36" spans="3:10" ht="17.25" customHeight="1" thickBot="1" x14ac:dyDescent="0.3">
      <c r="C36" s="316" t="s">
        <v>190</v>
      </c>
      <c r="D36" s="317"/>
      <c r="E36" s="64"/>
      <c r="F36" s="65"/>
      <c r="G36" s="193" t="str">
        <f t="shared" si="2"/>
        <v/>
      </c>
      <c r="H36" s="108" t="str">
        <f>IF('Monthly Tracker'!P72&gt;0,'Monthly Tracker'!P72,"")</f>
        <v/>
      </c>
      <c r="I36" s="108" t="str">
        <f>IF('Monthly Tracker'!$P73&gt;0,'Monthly Tracker'!$P73,"")</f>
        <v/>
      </c>
      <c r="J36" s="69"/>
    </row>
    <row r="37" spans="3:10" ht="17.25" customHeight="1" thickBot="1" x14ac:dyDescent="0.3">
      <c r="C37" s="316" t="s">
        <v>191</v>
      </c>
      <c r="D37" s="317"/>
      <c r="E37" s="64"/>
      <c r="F37" s="65"/>
      <c r="G37" s="193" t="str">
        <f t="shared" si="2"/>
        <v/>
      </c>
      <c r="H37" s="108" t="str">
        <f>IF('Monthly Tracker'!P75&gt;0,'Monthly Tracker'!P75,"")</f>
        <v/>
      </c>
      <c r="I37" s="108" t="str">
        <f>IF('Monthly Tracker'!$P76&gt;0,'Monthly Tracker'!$P76,"")</f>
        <v/>
      </c>
      <c r="J37" s="69"/>
    </row>
    <row r="38" spans="3:10" ht="17.25" customHeight="1" thickBot="1" x14ac:dyDescent="0.3">
      <c r="C38" s="316" t="s">
        <v>192</v>
      </c>
      <c r="D38" s="317"/>
      <c r="E38" s="64"/>
      <c r="F38" s="65"/>
      <c r="G38" s="193" t="str">
        <f t="shared" si="2"/>
        <v/>
      </c>
      <c r="H38" s="108" t="str">
        <f>IF('Monthly Tracker'!P78&gt;0,'Monthly Tracker'!P78,"")</f>
        <v/>
      </c>
      <c r="I38" s="108" t="str">
        <f>IF('Monthly Tracker'!$P79&gt;0,'Monthly Tracker'!$P79,"")</f>
        <v/>
      </c>
      <c r="J38" s="69"/>
    </row>
    <row r="39" spans="3:10" ht="17.25" customHeight="1" thickBot="1" x14ac:dyDescent="0.3">
      <c r="C39" s="316" t="s">
        <v>193</v>
      </c>
      <c r="D39" s="317"/>
      <c r="E39" s="64"/>
      <c r="F39" s="65"/>
      <c r="G39" s="193" t="str">
        <f t="shared" si="2"/>
        <v/>
      </c>
      <c r="H39" s="108" t="str">
        <f>IF('Monthly Tracker'!P81&gt;0,'Monthly Tracker'!P81,"")</f>
        <v/>
      </c>
      <c r="I39" s="108" t="str">
        <f>IF('Monthly Tracker'!$P82&gt;0,'Monthly Tracker'!$P82,"")</f>
        <v/>
      </c>
      <c r="J39" s="69"/>
    </row>
    <row r="40" spans="3:10" ht="17.25" customHeight="1" thickBot="1" x14ac:dyDescent="0.3">
      <c r="C40" s="316" t="s">
        <v>194</v>
      </c>
      <c r="D40" s="317"/>
      <c r="E40" s="64"/>
      <c r="F40" s="65"/>
      <c r="G40" s="193" t="str">
        <f t="shared" si="2"/>
        <v/>
      </c>
      <c r="H40" s="108" t="str">
        <f>IF('Monthly Tracker'!P84&gt;0,'Monthly Tracker'!P84,"")</f>
        <v/>
      </c>
      <c r="I40" s="108" t="str">
        <f>IF('Monthly Tracker'!$P85&gt;0,'Monthly Tracker'!$P85,"")</f>
        <v/>
      </c>
      <c r="J40" s="69"/>
    </row>
    <row r="41" spans="3:10" ht="17.25" customHeight="1" thickBot="1" x14ac:dyDescent="0.3">
      <c r="C41" s="316" t="s">
        <v>195</v>
      </c>
      <c r="D41" s="317"/>
      <c r="E41" s="64"/>
      <c r="F41" s="65"/>
      <c r="G41" s="193" t="str">
        <f t="shared" si="2"/>
        <v/>
      </c>
      <c r="H41" s="108" t="str">
        <f>IF('Monthly Tracker'!P87&gt;0,'Monthly Tracker'!P87,"")</f>
        <v/>
      </c>
      <c r="I41" s="108" t="str">
        <f>IF('Monthly Tracker'!$P88&gt;0,'Monthly Tracker'!$P88,"")</f>
        <v/>
      </c>
      <c r="J41" s="69"/>
    </row>
    <row r="42" spans="3:10" ht="17.25" customHeight="1" thickBot="1" x14ac:dyDescent="0.3">
      <c r="C42" s="316" t="s">
        <v>196</v>
      </c>
      <c r="D42" s="317"/>
      <c r="E42" s="64"/>
      <c r="F42" s="65"/>
      <c r="G42" s="193" t="str">
        <f t="shared" si="2"/>
        <v/>
      </c>
      <c r="H42" s="108" t="str">
        <f>IF('Monthly Tracker'!P90&gt;0,'Monthly Tracker'!P90,"")</f>
        <v/>
      </c>
      <c r="I42" s="108" t="str">
        <f>IF('Monthly Tracker'!$P91&gt;0,'Monthly Tracker'!$P91,"")</f>
        <v/>
      </c>
      <c r="J42" s="69"/>
    </row>
    <row r="43" spans="3:10" ht="17.25" customHeight="1" thickBot="1" x14ac:dyDescent="0.3">
      <c r="C43" s="316" t="s">
        <v>197</v>
      </c>
      <c r="D43" s="317"/>
      <c r="E43" s="64"/>
      <c r="F43" s="65"/>
      <c r="G43" s="193" t="str">
        <f t="shared" si="2"/>
        <v/>
      </c>
      <c r="H43" s="108" t="str">
        <f>IF('Monthly Tracker'!P93&gt;0,'Monthly Tracker'!P93,"")</f>
        <v/>
      </c>
      <c r="I43" s="108" t="str">
        <f>IF('Monthly Tracker'!$P94&gt;0,'Monthly Tracker'!$P94,"")</f>
        <v/>
      </c>
      <c r="J43" s="69"/>
    </row>
    <row r="44" spans="3:10" ht="17.25" customHeight="1" thickBot="1" x14ac:dyDescent="0.3">
      <c r="C44" s="316" t="s">
        <v>198</v>
      </c>
      <c r="D44" s="317"/>
      <c r="E44" s="66"/>
      <c r="F44" s="67"/>
      <c r="G44" s="212" t="str">
        <f>IF(OR(AND(F44&lt;25,E44&gt;1999,E44&lt;2005),AND(F44&gt;=25,F44&lt;50,E44&gt;1998,E44&lt;2004),AND(F44&gt;=50,F44&lt;100,E44&gt;1997,E44&lt;2004),AND(F44&gt;=100,F44&lt;175,E44&gt;1996,E44&lt;2003),AND(F44&gt;=175,F44&lt;300,E44&gt;1995,E44&lt;2003),AND(F44&gt;=300,F44&lt;600,E44&gt;1995,E44&lt;2001),AND(F44&gt;=600,F44&lt;750,E44&gt;1995,E44&lt;2002),AND(F44&gt;=750,E44&gt;1999,E44&lt;2006)),"Tier 1",IF(OR(AND(F44&lt;25,E44&gt;2004,E44&lt;2008),AND(F44&gt;=25,F44&lt;100,E44&gt;2003,E44&lt;2008),AND(F44&gt;=100,F44&lt;175,E44&gt;2002,E44&lt;2007),AND(F44&gt;=175,F44&lt;300,E44&gt;2002,E44&lt;2006),AND(F44&gt;=300,F44&lt;600,E44&gt;2000,E44&lt;2006),AND(F44&gt;=600,F44&lt;750,E44&gt;2001,E44&lt;2006),AND(F44&gt;=750,E44&gt;2005,E44&lt;2011)),"Tier 2",IF(OR(AND(F44&gt;=50,F44&lt;75,E44&gt;2007,E44&lt;2013),AND(F44&gt;=75,F44&lt;100,E44&gt;2007,E44&lt;2012),AND(F44&gt;=100,F44&lt;175,E44&gt;2006,E44&lt;2012),AND(F44&gt;=175,F44&lt;750,E44&gt;2005,E44&lt;2011)),"Tier 3",IF(OR(AND(F44&lt;50,E44&gt;2007),AND(F44&gt;=50,F44&lt;75,E44&gt;2012),AND(F44&gt;=75,F44&lt;175,E44&gt;2011),AND(F44&gt;=175,E44&gt;2010)),"Tier 4",IF(OR(E44="",F44=""),"","Tier 0")))))</f>
        <v/>
      </c>
      <c r="H44" s="109" t="str">
        <f>IF('Monthly Tracker'!P96&gt;0,'Monthly Tracker'!P96,"")</f>
        <v/>
      </c>
      <c r="I44" s="109" t="str">
        <f>IF('Monthly Tracker'!$P97&gt;0,'Monthly Tracker'!$P97,"")</f>
        <v/>
      </c>
      <c r="J44" s="70"/>
    </row>
    <row r="45" spans="3:10" x14ac:dyDescent="0.25">
      <c r="C45" s="135"/>
      <c r="D45" s="135"/>
      <c r="E45" s="290"/>
      <c r="F45" s="290"/>
      <c r="G45" s="4"/>
      <c r="H45" s="23"/>
      <c r="I45" s="23"/>
      <c r="J45" s="290"/>
    </row>
    <row r="46" spans="3:10" x14ac:dyDescent="0.25">
      <c r="C46" s="135"/>
      <c r="D46" s="135"/>
      <c r="E46" s="290"/>
      <c r="F46" s="290"/>
      <c r="G46" s="4"/>
      <c r="H46" s="23"/>
      <c r="I46" s="23"/>
      <c r="J46" s="290"/>
    </row>
    <row r="47" spans="3:10" x14ac:dyDescent="0.25">
      <c r="C47" s="135"/>
      <c r="D47" s="135"/>
      <c r="E47" s="290"/>
      <c r="F47" s="290"/>
      <c r="G47" s="4"/>
      <c r="H47" s="23"/>
      <c r="I47" s="23"/>
      <c r="J47" s="290"/>
    </row>
    <row r="48" spans="3:10" x14ac:dyDescent="0.25">
      <c r="C48" s="135"/>
      <c r="D48" s="135"/>
      <c r="E48" s="290"/>
      <c r="F48" s="290"/>
      <c r="G48" s="4"/>
      <c r="H48" s="23"/>
      <c r="I48" s="23"/>
      <c r="J48" s="290"/>
    </row>
    <row r="49" spans="3:30" ht="15" customHeight="1" x14ac:dyDescent="0.25">
      <c r="C49" s="135"/>
      <c r="D49" s="135"/>
      <c r="E49" s="290"/>
      <c r="F49" s="290"/>
      <c r="G49" s="4"/>
      <c r="H49" s="23"/>
      <c r="I49" s="23"/>
      <c r="J49" s="290"/>
      <c r="AC49" s="48"/>
      <c r="AD49" s="47"/>
    </row>
    <row r="50" spans="3:30" x14ac:dyDescent="0.25">
      <c r="C50" s="135"/>
      <c r="D50" s="135"/>
      <c r="E50" s="290"/>
      <c r="F50" s="290"/>
      <c r="G50" s="4"/>
      <c r="H50" s="23"/>
      <c r="I50" s="23"/>
      <c r="J50" s="290"/>
      <c r="AC50" s="48"/>
      <c r="AD50" s="47"/>
    </row>
    <row r="51" spans="3:30" x14ac:dyDescent="0.25">
      <c r="C51" s="135"/>
      <c r="D51" s="135"/>
      <c r="E51" s="290"/>
      <c r="F51" s="290"/>
      <c r="G51" s="4"/>
      <c r="H51" s="23"/>
      <c r="I51" s="23"/>
      <c r="J51" s="290"/>
      <c r="AC51" s="48"/>
      <c r="AD51" s="47"/>
    </row>
  </sheetData>
  <sheetProtection algorithmName="SHA-512" hashValue="vNUq6gRYi448x/rnsFf7UX6fxsjFe6fSBtEUjL/c4z1ZVWTh2Iciw5Amdns8C8AA79cfREhP5+6ZYTBzuSE4iQ==" saltValue="DL5NitZkahLO9aCKrhfUCA==" spinCount="100000" sheet="1" objects="1" scenarios="1"/>
  <mergeCells count="70">
    <mergeCell ref="R21:T21"/>
    <mergeCell ref="R22:T22"/>
    <mergeCell ref="X26:Y26"/>
    <mergeCell ref="R23:T23"/>
    <mergeCell ref="R24:T24"/>
    <mergeCell ref="R25:T25"/>
    <mergeCell ref="R26:T26"/>
    <mergeCell ref="N25:O25"/>
    <mergeCell ref="N26:O26"/>
    <mergeCell ref="P20:Q20"/>
    <mergeCell ref="P19:Q19"/>
    <mergeCell ref="P21:Q21"/>
    <mergeCell ref="P22:Q22"/>
    <mergeCell ref="P23:Q23"/>
    <mergeCell ref="P24:Q24"/>
    <mergeCell ref="P25:Q25"/>
    <mergeCell ref="P26:Q26"/>
    <mergeCell ref="N16:O18"/>
    <mergeCell ref="P16:Q18"/>
    <mergeCell ref="X25:Y25"/>
    <mergeCell ref="C16:D16"/>
    <mergeCell ref="C17:D17"/>
    <mergeCell ref="C18:D18"/>
    <mergeCell ref="C19:D19"/>
    <mergeCell ref="W24:Y24"/>
    <mergeCell ref="N19:O19"/>
    <mergeCell ref="N20:O20"/>
    <mergeCell ref="N21:O21"/>
    <mergeCell ref="N22:O22"/>
    <mergeCell ref="N23:O23"/>
    <mergeCell ref="N24:O24"/>
    <mergeCell ref="R20:T20"/>
    <mergeCell ref="S15:U17"/>
    <mergeCell ref="C29:D29"/>
    <mergeCell ref="C20:D20"/>
    <mergeCell ref="C21:D21"/>
    <mergeCell ref="C22:D22"/>
    <mergeCell ref="C23:D23"/>
    <mergeCell ref="C24:D24"/>
    <mergeCell ref="C25:D25"/>
    <mergeCell ref="C26:D26"/>
    <mergeCell ref="C27:D27"/>
    <mergeCell ref="C28:D28"/>
    <mergeCell ref="F1:M1"/>
    <mergeCell ref="K2:M2"/>
    <mergeCell ref="K3:M3"/>
    <mergeCell ref="C15:D15"/>
    <mergeCell ref="L13:U13"/>
    <mergeCell ref="C6:U9"/>
    <mergeCell ref="G2:J2"/>
    <mergeCell ref="G3:J3"/>
    <mergeCell ref="G4:J4"/>
    <mergeCell ref="N2:Q2"/>
    <mergeCell ref="N3:Q3"/>
    <mergeCell ref="E11:I12"/>
    <mergeCell ref="C43:D43"/>
    <mergeCell ref="C44:D44"/>
    <mergeCell ref="C35:D35"/>
    <mergeCell ref="C36:D36"/>
    <mergeCell ref="C37:D37"/>
    <mergeCell ref="C38:D38"/>
    <mergeCell ref="C39:D39"/>
    <mergeCell ref="C40:D40"/>
    <mergeCell ref="C41:D41"/>
    <mergeCell ref="C42:D42"/>
    <mergeCell ref="C30:D30"/>
    <mergeCell ref="C31:D31"/>
    <mergeCell ref="C32:D32"/>
    <mergeCell ref="C33:D33"/>
    <mergeCell ref="C34:D34"/>
  </mergeCells>
  <phoneticPr fontId="9" type="noConversion"/>
  <conditionalFormatting sqref="E15:F44 J15:J44 N20:N26 W25">
    <cfRule type="cellIs" dxfId="16" priority="9" operator="equal">
      <formula>""</formula>
    </cfRule>
  </conditionalFormatting>
  <conditionalFormatting sqref="E15:F51 H15:J51 N20:N26 W25">
    <cfRule type="notContainsBlanks" dxfId="15" priority="16">
      <formula>LEN(TRIM(E15))&gt;0</formula>
    </cfRule>
  </conditionalFormatting>
  <conditionalFormatting sqref="G15:G51">
    <cfRule type="cellIs" dxfId="14" priority="11" operator="equal">
      <formula>"Tier 0"</formula>
    </cfRule>
    <cfRule type="cellIs" dxfId="13" priority="12" operator="equal">
      <formula>"Tier 1"</formula>
    </cfRule>
    <cfRule type="cellIs" dxfId="12" priority="13" operator="equal">
      <formula>"Tier 2"</formula>
    </cfRule>
    <cfRule type="cellIs" dxfId="11" priority="14" operator="equal">
      <formula>"Tier 3"</formula>
    </cfRule>
    <cfRule type="cellIs" dxfId="10" priority="15" operator="equal">
      <formula>"Tier 4"</formula>
    </cfRule>
  </conditionalFormatting>
  <conditionalFormatting sqref="G15:I44 P20:P26">
    <cfRule type="cellIs" dxfId="9" priority="1" operator="equal">
      <formula>""</formula>
    </cfRule>
  </conditionalFormatting>
  <conditionalFormatting sqref="R20:R26">
    <cfRule type="expression" dxfId="8" priority="3">
      <formula>R20:T20="In Compliance"</formula>
    </cfRule>
    <cfRule type="expression" dxfId="7" priority="4">
      <formula>R20:T20="Not In Compliance"</formula>
    </cfRule>
  </conditionalFormatting>
  <dataValidations count="12">
    <dataValidation allowBlank="1" showInputMessage="1" showErrorMessage="1" promptTitle="Instructions" prompt="If you need to convert kilowatts to horsepower, input the power in kilowatts here." sqref="W25" xr:uid="{04BD41EE-772A-4A65-9DA2-4984CAFE4796}"/>
    <dataValidation type="whole" allowBlank="1" showInputMessage="1" showErrorMessage="1" errorTitle="Error" error="Enter a year formatted as XXXX." promptTitle="Manufacture Year" prompt="Insert the year that the engine was manufactured here." sqref="E45:E51" xr:uid="{FB2031A2-977C-462F-B8F0-673F0952BB0F}">
      <formula1>0</formula1>
      <formula2>$U$1</formula2>
    </dataValidation>
    <dataValidation type="decimal" operator="greaterThan" allowBlank="1" showInputMessage="1" showErrorMessage="1" errorTitle="Error" error="Enter the engine power in horsepower. This can be found on the engine nameplate." promptTitle="Engine Power" prompt="Enter the engine power here in horsepower. Engine power must be equal to or greater than 175 hp." sqref="F45:F51" xr:uid="{16B94EBC-01FF-4F9E-9562-F5B47DA1E713}">
      <formula1>0</formula1>
    </dataValidation>
    <dataValidation type="list" allowBlank="1" showInputMessage="1" showErrorMessage="1" errorTitle="Error" error="Use the drop-down menu to select &quot;Y&quot; or &quot;N&quot;." promptTitle="Gen Set" prompt="If the engine powers a generator, select &quot;Y&quot;. If the engine does not power a generator, select &quot;N&quot;." sqref="J45:J51" xr:uid="{EAC756FD-D3FB-4122-B042-3B51A12187CD}">
      <formula1>"Y,N"</formula1>
    </dataValidation>
    <dataValidation type="decimal" operator="greaterThan" allowBlank="1" showInputMessage="1" showErrorMessage="1" errorTitle="Error" error="Enter the engine power in horsepower. This can be found on the engine nameplate. If needed, the calculator to the right can be used to convert kilowatts to horsepower." promptTitle="Engine Power" prompt="Enter the engine power here in horsepower. " sqref="F15:F44" xr:uid="{D84FE253-4773-4292-A2F8-BF123B74B029}">
      <formula1>0</formula1>
    </dataValidation>
    <dataValidation type="whole" allowBlank="1" showInputMessage="1" showErrorMessage="1" errorTitle="Error" error="Enter a year formatted as XXXX. This can be found on the engine nameplate." promptTitle="Manufacture Year" prompt="Enter the year that the engine was manufactured here." sqref="E15:E44" xr:uid="{954AC168-44F8-4970-9F3A-622DAEF50BDE}">
      <formula1>0</formula1>
      <formula2>3000</formula2>
    </dataValidation>
    <dataValidation allowBlank="1" showInputMessage="1" showErrorMessage="1" prompt="The engine Tier will be calculated automatically once the year of manufacture and engine power are entered." sqref="G15:G44" xr:uid="{8336BABA-B766-4153-ACE1-8E7642346803}"/>
    <dataValidation allowBlank="1" showInputMessage="1" showErrorMessage="1" prompt="The Fuel Usage for each engine will be calculated automatically from the data entered in the &quot;Monthly Tracker&quot; sheet." sqref="H15:H44" xr:uid="{173167BB-D472-4CB9-81AC-89E99802B4F2}"/>
    <dataValidation allowBlank="1" showInputMessage="1" showErrorMessage="1" prompt="The Hours of Operation for each engine will be calculated automatically from the data entered in the &quot;Monthly Tracker&quot; sheet." sqref="I15:I44" xr:uid="{57DCB9CB-B09D-43CA-BF60-5E6A88722214}"/>
    <dataValidation type="list" allowBlank="1" showInputMessage="1" showErrorMessage="1" errorTitle="Error" error="Use the drop-down menu to select &quot;Y&quot; or &quot;N&quot;." promptTitle="Gen Set" prompt="If the engine is part of a generator set, select &quot;Y&quot;. If not, select &quot;N&quot;." sqref="J15:J44" xr:uid="{DC3EAF64-5FAC-43D1-81EC-A3B693AA3C39}">
      <formula1>"Y,N"</formula1>
    </dataValidation>
    <dataValidation allowBlank="1" showInputMessage="1" showErrorMessage="1" prompt="The annual emissions for each criteria pollutant will automatically be calculated here." sqref="P16" xr:uid="{876AD361-6E8B-4968-87E6-8EA6C5CD95D7}"/>
    <dataValidation type="decimal" operator="greaterThanOrEqual" allowBlank="1" showInputMessage="1" showErrorMessage="1" errorTitle="Error" error="Input the emissions limits as a number in tons per year." promptTitle="Emissions Limits" prompt="Input the emission limit for each pollutant here. This can be found on your Permit to Operate/Construct." sqref="N20:O26" xr:uid="{159D5E79-3113-461C-85FD-9D7494AC5C5C}">
      <formula1>0</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35841-F717-4DDD-AF62-F7F157189D98}">
  <sheetPr>
    <tabColor rgb="FFB3E2F7"/>
    <pageSetUpPr autoPageBreaks="0"/>
  </sheetPr>
  <dimension ref="A2:AC97"/>
  <sheetViews>
    <sheetView showGridLines="0" workbookViewId="0">
      <pane ySplit="4" topLeftCell="A5" activePane="bottomLeft" state="frozen"/>
      <selection pane="bottomLeft" activeCell="F15" sqref="F15"/>
    </sheetView>
  </sheetViews>
  <sheetFormatPr defaultColWidth="11.5703125" defaultRowHeight="15" x14ac:dyDescent="0.25"/>
  <cols>
    <col min="1" max="1" width="4.7109375" style="37" customWidth="1"/>
    <col min="2" max="2" width="11.42578125" style="129" customWidth="1"/>
    <col min="16" max="16" width="15.85546875" customWidth="1"/>
  </cols>
  <sheetData>
    <row r="2" spans="1:29" ht="15.75" customHeight="1" thickBot="1" x14ac:dyDescent="0.3">
      <c r="C2" s="116"/>
    </row>
    <row r="3" spans="1:29" ht="15.75" customHeight="1" thickBot="1" x14ac:dyDescent="0.3">
      <c r="C3" s="314" t="s">
        <v>208</v>
      </c>
      <c r="D3" s="398" t="s">
        <v>90</v>
      </c>
      <c r="E3" s="399"/>
      <c r="F3" s="399"/>
      <c r="G3" s="399"/>
      <c r="H3" s="399"/>
      <c r="I3" s="399"/>
      <c r="J3" s="399"/>
      <c r="K3" s="399"/>
      <c r="L3" s="399"/>
      <c r="M3" s="399"/>
      <c r="N3" s="399"/>
      <c r="O3" s="400"/>
    </row>
    <row r="4" spans="1:29" s="23" customFormat="1" ht="15.75" thickBot="1" x14ac:dyDescent="0.3">
      <c r="A4" s="291"/>
      <c r="B4" s="129"/>
      <c r="C4" s="315"/>
      <c r="D4" s="118" t="s">
        <v>92</v>
      </c>
      <c r="E4" s="118" t="s">
        <v>93</v>
      </c>
      <c r="F4" s="118" t="s">
        <v>94</v>
      </c>
      <c r="G4" s="118" t="s">
        <v>95</v>
      </c>
      <c r="H4" s="118" t="s">
        <v>96</v>
      </c>
      <c r="I4" s="118" t="s">
        <v>97</v>
      </c>
      <c r="J4" s="118" t="s">
        <v>98</v>
      </c>
      <c r="K4" s="118" t="s">
        <v>99</v>
      </c>
      <c r="L4" s="118" t="s">
        <v>100</v>
      </c>
      <c r="M4" s="118" t="s">
        <v>101</v>
      </c>
      <c r="N4" s="118" t="s">
        <v>102</v>
      </c>
      <c r="O4" s="119" t="s">
        <v>103</v>
      </c>
      <c r="P4" s="38" t="s">
        <v>104</v>
      </c>
    </row>
    <row r="5" spans="1:29" ht="30" thickBot="1" x14ac:dyDescent="0.3">
      <c r="C5" s="38" t="s">
        <v>199</v>
      </c>
      <c r="D5" s="120">
        <f>D9+D12+D15+D18+D21+D24+D27+D30+D33+D36+D39+D42+D45+D48+D51+D54+D57+D60+D63+D66+D69+D72+D75+D78+D81+D84+D87+D90+D93+D96</f>
        <v>0</v>
      </c>
      <c r="E5" s="121">
        <f t="shared" ref="E5:O5" si="0">E9+E12+E15+E18+E21+E24+E27+E30+E33+E36+E39+E42+E45+E48+E51+E54+E57+E60+E63+E66+E69+E72+E75+E78+E81+E84+E87+E90+E93+E96</f>
        <v>0</v>
      </c>
      <c r="F5" s="121">
        <f t="shared" si="0"/>
        <v>0</v>
      </c>
      <c r="G5" s="121">
        <f t="shared" si="0"/>
        <v>0</v>
      </c>
      <c r="H5" s="121">
        <f>H9+H12+H15+H18+H21+H24+H27+H30+H33+H36+H39+H42+H45+H48+H51+H54+H57+H60+H63+H66+H69+H72+H75+H78+H81+H84+H87+H90+H93+H96</f>
        <v>0</v>
      </c>
      <c r="I5" s="121">
        <f t="shared" si="0"/>
        <v>0</v>
      </c>
      <c r="J5" s="121">
        <f t="shared" si="0"/>
        <v>0</v>
      </c>
      <c r="K5" s="121">
        <f t="shared" si="0"/>
        <v>0</v>
      </c>
      <c r="L5" s="121">
        <f t="shared" si="0"/>
        <v>0</v>
      </c>
      <c r="M5" s="121">
        <f t="shared" si="0"/>
        <v>0</v>
      </c>
      <c r="N5" s="121">
        <f t="shared" si="0"/>
        <v>0</v>
      </c>
      <c r="O5" s="122">
        <f t="shared" si="0"/>
        <v>0</v>
      </c>
      <c r="P5" s="123">
        <f>SUM(D5:O5)</f>
        <v>0</v>
      </c>
    </row>
    <row r="6" spans="1:29" ht="29.25" thickBot="1" x14ac:dyDescent="0.3">
      <c r="C6" s="38" t="s">
        <v>91</v>
      </c>
      <c r="D6" s="124">
        <f>D10+D13+D16+D19+D22+D25+D28+D31+D34+D37+D40+D43+D46+D49+D52+D55+D58+D61+D64+D67+D70+D73+D76+D79+D82+D85+D88+D91+D94+D97</f>
        <v>0</v>
      </c>
      <c r="E6" s="125">
        <f t="shared" ref="E6:O6" si="1">E10+E13+E16+E19+E22+E25+E28+E31+E34+E37+E40+E43+E46+E49+E52+E55+E58+E61+E64+E67+E70+E73+E76+E79+E82+E85+E88+E91+E94+E97</f>
        <v>0</v>
      </c>
      <c r="F6" s="125">
        <f t="shared" si="1"/>
        <v>0</v>
      </c>
      <c r="G6" s="125">
        <f t="shared" si="1"/>
        <v>0</v>
      </c>
      <c r="H6" s="125">
        <f>H10+H13+H16+H19+H22+H25+H28+H31+H34+H37+H40+H43+H46+H49+H52+H55+H58+H61+H64+H67+H70+H73+H76+H79+H82+H85+H88+H91+H94+H97</f>
        <v>0</v>
      </c>
      <c r="I6" s="125">
        <f t="shared" si="1"/>
        <v>0</v>
      </c>
      <c r="J6" s="125">
        <f t="shared" si="1"/>
        <v>0</v>
      </c>
      <c r="K6" s="125">
        <f t="shared" si="1"/>
        <v>0</v>
      </c>
      <c r="L6" s="125">
        <f t="shared" si="1"/>
        <v>0</v>
      </c>
      <c r="M6" s="125">
        <f t="shared" si="1"/>
        <v>0</v>
      </c>
      <c r="N6" s="125">
        <f t="shared" si="1"/>
        <v>0</v>
      </c>
      <c r="O6" s="126">
        <f t="shared" si="1"/>
        <v>0</v>
      </c>
      <c r="P6" s="127">
        <f>SUM(D6:O6)</f>
        <v>0</v>
      </c>
    </row>
    <row r="7" spans="1:29" ht="15.75" thickBot="1" x14ac:dyDescent="0.3">
      <c r="Q7" s="128"/>
      <c r="R7" s="129"/>
      <c r="S7" s="129"/>
      <c r="T7" s="129"/>
      <c r="U7" s="129"/>
      <c r="V7" s="129"/>
      <c r="W7" s="129"/>
      <c r="X7" s="129"/>
      <c r="Y7" s="129"/>
      <c r="Z7" s="129"/>
      <c r="AA7" s="129"/>
      <c r="AB7" s="129"/>
      <c r="AC7" s="129"/>
    </row>
    <row r="8" spans="1:29" ht="15.75" thickBot="1" x14ac:dyDescent="0.3">
      <c r="E8" s="395" t="s">
        <v>202</v>
      </c>
      <c r="F8" s="396"/>
      <c r="G8" s="396"/>
      <c r="H8" s="396"/>
      <c r="I8" s="396"/>
      <c r="J8" s="396"/>
      <c r="K8" s="396"/>
      <c r="L8" s="396"/>
      <c r="M8" s="396"/>
      <c r="N8" s="396"/>
      <c r="O8" s="397"/>
    </row>
    <row r="9" spans="1:29" ht="30" thickBot="1" x14ac:dyDescent="0.3">
      <c r="A9" s="37" t="str">
        <f>IF($B$10="","N","Y")</f>
        <v>N</v>
      </c>
      <c r="B9" s="138" t="str">
        <f>Emissions!C15</f>
        <v>Engine 1</v>
      </c>
      <c r="C9" s="38" t="s">
        <v>199</v>
      </c>
      <c r="D9" s="110"/>
      <c r="E9" s="111"/>
      <c r="F9" s="111"/>
      <c r="G9" s="111"/>
      <c r="H9" s="111"/>
      <c r="I9" s="111"/>
      <c r="J9" s="111"/>
      <c r="K9" s="111"/>
      <c r="L9" s="111"/>
      <c r="M9" s="111"/>
      <c r="N9" s="111"/>
      <c r="O9" s="112"/>
      <c r="P9" s="123">
        <f>SUM(D9:O9)</f>
        <v>0</v>
      </c>
    </row>
    <row r="10" spans="1:29" ht="29.25" thickBot="1" x14ac:dyDescent="0.3">
      <c r="A10" s="37" t="str">
        <f>IF($B$10="","N","Y")</f>
        <v>N</v>
      </c>
      <c r="B10" s="137" t="str">
        <f>Emissions!G15</f>
        <v/>
      </c>
      <c r="C10" s="117" t="s">
        <v>91</v>
      </c>
      <c r="D10" s="113"/>
      <c r="E10" s="114"/>
      <c r="F10" s="114"/>
      <c r="G10" s="114"/>
      <c r="H10" s="114"/>
      <c r="I10" s="114"/>
      <c r="J10" s="114"/>
      <c r="K10" s="114"/>
      <c r="L10" s="114"/>
      <c r="M10" s="114"/>
      <c r="N10" s="114"/>
      <c r="O10" s="115"/>
      <c r="P10" s="127">
        <f>SUM(D10:O10)</f>
        <v>0</v>
      </c>
    </row>
    <row r="11" spans="1:29" ht="15.75" thickBot="1" x14ac:dyDescent="0.3"/>
    <row r="12" spans="1:29" ht="30" thickBot="1" x14ac:dyDescent="0.3">
      <c r="A12" s="37" t="str">
        <f>IF($B$13="","N","Y")</f>
        <v>N</v>
      </c>
      <c r="B12" s="138" t="str">
        <f>Emissions!C16</f>
        <v>Engine 2</v>
      </c>
      <c r="C12" s="38" t="s">
        <v>199</v>
      </c>
      <c r="D12" s="110"/>
      <c r="E12" s="111"/>
      <c r="F12" s="111"/>
      <c r="G12" s="111"/>
      <c r="H12" s="111"/>
      <c r="I12" s="111"/>
      <c r="J12" s="111"/>
      <c r="K12" s="111"/>
      <c r="L12" s="111"/>
      <c r="M12" s="111"/>
      <c r="N12" s="111"/>
      <c r="O12" s="112"/>
      <c r="P12" s="123">
        <f>SUM(D12:O12)</f>
        <v>0</v>
      </c>
    </row>
    <row r="13" spans="1:29" ht="29.25" thickBot="1" x14ac:dyDescent="0.3">
      <c r="A13" s="37" t="str">
        <f>IF($B$13="","N","Y")</f>
        <v>N</v>
      </c>
      <c r="B13" s="137" t="str">
        <f>Emissions!G16</f>
        <v/>
      </c>
      <c r="C13" s="117" t="s">
        <v>91</v>
      </c>
      <c r="D13" s="113"/>
      <c r="E13" s="114"/>
      <c r="F13" s="114"/>
      <c r="G13" s="114"/>
      <c r="H13" s="114"/>
      <c r="I13" s="114"/>
      <c r="J13" s="114"/>
      <c r="K13" s="114"/>
      <c r="L13" s="114"/>
      <c r="M13" s="114"/>
      <c r="N13" s="114"/>
      <c r="O13" s="115"/>
      <c r="P13" s="127">
        <f>SUM(D13:O13)</f>
        <v>0</v>
      </c>
    </row>
    <row r="14" spans="1:29" ht="15.75" thickBot="1" x14ac:dyDescent="0.3"/>
    <row r="15" spans="1:29" ht="30" thickBot="1" x14ac:dyDescent="0.3">
      <c r="A15" s="37" t="str">
        <f>IF($B$16="","N","Y")</f>
        <v>N</v>
      </c>
      <c r="B15" s="138" t="str">
        <f>Emissions!C17</f>
        <v>Engine 3</v>
      </c>
      <c r="C15" s="38" t="s">
        <v>199</v>
      </c>
      <c r="D15" s="110"/>
      <c r="E15" s="111"/>
      <c r="F15" s="111"/>
      <c r="G15" s="111"/>
      <c r="H15" s="111"/>
      <c r="I15" s="111"/>
      <c r="J15" s="111"/>
      <c r="K15" s="111"/>
      <c r="L15" s="111"/>
      <c r="M15" s="111"/>
      <c r="N15" s="111"/>
      <c r="O15" s="112"/>
      <c r="P15" s="123">
        <f>SUM(D15:O15)</f>
        <v>0</v>
      </c>
    </row>
    <row r="16" spans="1:29" ht="29.25" thickBot="1" x14ac:dyDescent="0.3">
      <c r="A16" s="37" t="str">
        <f>IF($B$16="","N","Y")</f>
        <v>N</v>
      </c>
      <c r="B16" s="137" t="str">
        <f>Emissions!G17</f>
        <v/>
      </c>
      <c r="C16" s="117" t="s">
        <v>91</v>
      </c>
      <c r="D16" s="113"/>
      <c r="E16" s="114"/>
      <c r="F16" s="114"/>
      <c r="G16" s="114"/>
      <c r="H16" s="114"/>
      <c r="I16" s="114"/>
      <c r="J16" s="114"/>
      <c r="K16" s="114"/>
      <c r="L16" s="114"/>
      <c r="M16" s="114"/>
      <c r="N16" s="114"/>
      <c r="O16" s="115"/>
      <c r="P16" s="127">
        <f>SUM(D16:O16)</f>
        <v>0</v>
      </c>
    </row>
    <row r="17" spans="1:16" ht="15.75" thickBot="1" x14ac:dyDescent="0.3"/>
    <row r="18" spans="1:16" ht="30" thickBot="1" x14ac:dyDescent="0.3">
      <c r="A18" s="37" t="str">
        <f>IF($B$19="","N","Y")</f>
        <v>N</v>
      </c>
      <c r="B18" s="138" t="str">
        <f>Emissions!C18</f>
        <v>Engine 4</v>
      </c>
      <c r="C18" s="38" t="s">
        <v>199</v>
      </c>
      <c r="D18" s="110"/>
      <c r="E18" s="111"/>
      <c r="F18" s="111"/>
      <c r="G18" s="111"/>
      <c r="H18" s="111"/>
      <c r="I18" s="111"/>
      <c r="J18" s="111"/>
      <c r="K18" s="111"/>
      <c r="L18" s="111"/>
      <c r="M18" s="111"/>
      <c r="N18" s="111"/>
      <c r="O18" s="112"/>
      <c r="P18" s="123">
        <f>SUM(D18:O18)</f>
        <v>0</v>
      </c>
    </row>
    <row r="19" spans="1:16" ht="29.25" thickBot="1" x14ac:dyDescent="0.3">
      <c r="A19" s="37" t="str">
        <f>IF($B$19="","N","Y")</f>
        <v>N</v>
      </c>
      <c r="B19" s="137" t="str">
        <f>Emissions!G18</f>
        <v/>
      </c>
      <c r="C19" s="117" t="s">
        <v>91</v>
      </c>
      <c r="D19" s="113"/>
      <c r="E19" s="114"/>
      <c r="F19" s="114"/>
      <c r="G19" s="114"/>
      <c r="H19" s="114"/>
      <c r="I19" s="114"/>
      <c r="J19" s="114"/>
      <c r="K19" s="114"/>
      <c r="L19" s="114"/>
      <c r="M19" s="114"/>
      <c r="N19" s="114"/>
      <c r="O19" s="115"/>
      <c r="P19" s="127">
        <f>SUM(D19:O19)</f>
        <v>0</v>
      </c>
    </row>
    <row r="20" spans="1:16" ht="15.75" thickBot="1" x14ac:dyDescent="0.3"/>
    <row r="21" spans="1:16" ht="30" thickBot="1" x14ac:dyDescent="0.3">
      <c r="A21" s="37" t="str">
        <f>IF($B$22="","N","Y")</f>
        <v>N</v>
      </c>
      <c r="B21" s="138" t="str">
        <f>Emissions!C19</f>
        <v>Engine 5</v>
      </c>
      <c r="C21" s="38" t="s">
        <v>199</v>
      </c>
      <c r="D21" s="110"/>
      <c r="E21" s="111"/>
      <c r="F21" s="111"/>
      <c r="G21" s="111"/>
      <c r="H21" s="111"/>
      <c r="I21" s="111"/>
      <c r="J21" s="111"/>
      <c r="K21" s="111"/>
      <c r="L21" s="111"/>
      <c r="M21" s="111"/>
      <c r="N21" s="111"/>
      <c r="O21" s="112"/>
      <c r="P21" s="123">
        <f>SUM(D21:O21)</f>
        <v>0</v>
      </c>
    </row>
    <row r="22" spans="1:16" ht="29.25" thickBot="1" x14ac:dyDescent="0.3">
      <c r="A22" s="37" t="str">
        <f>IF($B$22="","N","Y")</f>
        <v>N</v>
      </c>
      <c r="B22" s="137" t="str">
        <f>Emissions!G19</f>
        <v/>
      </c>
      <c r="C22" s="117" t="s">
        <v>91</v>
      </c>
      <c r="D22" s="113"/>
      <c r="E22" s="114"/>
      <c r="F22" s="114"/>
      <c r="G22" s="114"/>
      <c r="H22" s="114"/>
      <c r="I22" s="114"/>
      <c r="J22" s="114"/>
      <c r="K22" s="114"/>
      <c r="L22" s="114"/>
      <c r="M22" s="114"/>
      <c r="N22" s="114"/>
      <c r="O22" s="115"/>
      <c r="P22" s="127">
        <f>SUM(D22:O22)</f>
        <v>0</v>
      </c>
    </row>
    <row r="23" spans="1:16" ht="15.75" thickBot="1" x14ac:dyDescent="0.3"/>
    <row r="24" spans="1:16" ht="30" thickBot="1" x14ac:dyDescent="0.3">
      <c r="A24" s="37" t="str">
        <f>IF($B$25="","N","Y")</f>
        <v>N</v>
      </c>
      <c r="B24" s="138" t="str">
        <f>Emissions!C20</f>
        <v>Engine 6</v>
      </c>
      <c r="C24" s="38" t="s">
        <v>199</v>
      </c>
      <c r="D24" s="110"/>
      <c r="E24" s="111"/>
      <c r="F24" s="111"/>
      <c r="G24" s="111"/>
      <c r="H24" s="111"/>
      <c r="I24" s="111"/>
      <c r="J24" s="111"/>
      <c r="K24" s="111"/>
      <c r="L24" s="111"/>
      <c r="M24" s="111"/>
      <c r="N24" s="111"/>
      <c r="O24" s="112"/>
      <c r="P24" s="123">
        <f>SUM(D24:O24)</f>
        <v>0</v>
      </c>
    </row>
    <row r="25" spans="1:16" ht="29.25" thickBot="1" x14ac:dyDescent="0.3">
      <c r="A25" s="37" t="str">
        <f>IF($B$25="","N","Y")</f>
        <v>N</v>
      </c>
      <c r="B25" s="137" t="str">
        <f>Emissions!G20</f>
        <v/>
      </c>
      <c r="C25" s="117" t="s">
        <v>91</v>
      </c>
      <c r="D25" s="113"/>
      <c r="E25" s="114"/>
      <c r="F25" s="114"/>
      <c r="G25" s="114"/>
      <c r="H25" s="114"/>
      <c r="I25" s="114"/>
      <c r="J25" s="114"/>
      <c r="K25" s="114"/>
      <c r="L25" s="114"/>
      <c r="M25" s="114"/>
      <c r="N25" s="114"/>
      <c r="O25" s="115"/>
      <c r="P25" s="127">
        <f>SUM(D25:O25)</f>
        <v>0</v>
      </c>
    </row>
    <row r="26" spans="1:16" ht="15.75" thickBot="1" x14ac:dyDescent="0.3"/>
    <row r="27" spans="1:16" ht="30" thickBot="1" x14ac:dyDescent="0.3">
      <c r="A27" s="37" t="str">
        <f>IF($B$28="","N","Y")</f>
        <v>N</v>
      </c>
      <c r="B27" s="138" t="str">
        <f>Emissions!C21</f>
        <v>Engine 7</v>
      </c>
      <c r="C27" s="38" t="s">
        <v>199</v>
      </c>
      <c r="D27" s="110"/>
      <c r="E27" s="111"/>
      <c r="F27" s="111"/>
      <c r="G27" s="111"/>
      <c r="H27" s="111"/>
      <c r="I27" s="111"/>
      <c r="J27" s="111"/>
      <c r="K27" s="111"/>
      <c r="L27" s="111"/>
      <c r="M27" s="111"/>
      <c r="N27" s="111"/>
      <c r="O27" s="112"/>
      <c r="P27" s="123">
        <f>SUM(D27:O27)</f>
        <v>0</v>
      </c>
    </row>
    <row r="28" spans="1:16" ht="29.25" thickBot="1" x14ac:dyDescent="0.3">
      <c r="A28" s="37" t="str">
        <f>IF($B$28="","N","Y")</f>
        <v>N</v>
      </c>
      <c r="B28" s="137" t="str">
        <f>Emissions!G21</f>
        <v/>
      </c>
      <c r="C28" s="117" t="s">
        <v>91</v>
      </c>
      <c r="D28" s="113"/>
      <c r="E28" s="114"/>
      <c r="F28" s="114"/>
      <c r="G28" s="114"/>
      <c r="H28" s="114"/>
      <c r="I28" s="114"/>
      <c r="J28" s="114"/>
      <c r="K28" s="114"/>
      <c r="L28" s="114"/>
      <c r="M28" s="114"/>
      <c r="N28" s="114"/>
      <c r="O28" s="115"/>
      <c r="P28" s="127">
        <f>SUM(D28:O28)</f>
        <v>0</v>
      </c>
    </row>
    <row r="29" spans="1:16" ht="15.75" thickBot="1" x14ac:dyDescent="0.3"/>
    <row r="30" spans="1:16" ht="30" thickBot="1" x14ac:dyDescent="0.3">
      <c r="A30" s="37" t="str">
        <f>IF($B$31="","N","Y")</f>
        <v>N</v>
      </c>
      <c r="B30" s="138" t="str">
        <f>Emissions!C22</f>
        <v>Engine 8</v>
      </c>
      <c r="C30" s="38" t="s">
        <v>199</v>
      </c>
      <c r="D30" s="110"/>
      <c r="E30" s="111"/>
      <c r="F30" s="111"/>
      <c r="G30" s="111"/>
      <c r="H30" s="111"/>
      <c r="I30" s="111"/>
      <c r="J30" s="111"/>
      <c r="K30" s="111"/>
      <c r="L30" s="111"/>
      <c r="M30" s="111"/>
      <c r="N30" s="111"/>
      <c r="O30" s="112"/>
      <c r="P30" s="123">
        <f>SUM(D30:O30)</f>
        <v>0</v>
      </c>
    </row>
    <row r="31" spans="1:16" ht="29.25" thickBot="1" x14ac:dyDescent="0.3">
      <c r="A31" s="37" t="str">
        <f>IF($B$31="","N","Y")</f>
        <v>N</v>
      </c>
      <c r="B31" s="137" t="str">
        <f>Emissions!G22</f>
        <v/>
      </c>
      <c r="C31" s="117" t="s">
        <v>91</v>
      </c>
      <c r="D31" s="113"/>
      <c r="E31" s="114"/>
      <c r="F31" s="114"/>
      <c r="G31" s="114"/>
      <c r="H31" s="114"/>
      <c r="I31" s="114"/>
      <c r="J31" s="114"/>
      <c r="K31" s="114"/>
      <c r="L31" s="114"/>
      <c r="M31" s="114"/>
      <c r="N31" s="114"/>
      <c r="O31" s="115"/>
      <c r="P31" s="127">
        <f>SUM(D31:O31)</f>
        <v>0</v>
      </c>
    </row>
    <row r="32" spans="1:16" ht="15.75" thickBot="1" x14ac:dyDescent="0.3"/>
    <row r="33" spans="1:16" ht="30" thickBot="1" x14ac:dyDescent="0.3">
      <c r="A33" s="37" t="str">
        <f>IF($B$34="","N","Y")</f>
        <v>N</v>
      </c>
      <c r="B33" s="138" t="str">
        <f>Emissions!C23</f>
        <v>Engine 9</v>
      </c>
      <c r="C33" s="38" t="s">
        <v>199</v>
      </c>
      <c r="D33" s="110"/>
      <c r="E33" s="111"/>
      <c r="F33" s="111"/>
      <c r="G33" s="111"/>
      <c r="H33" s="111"/>
      <c r="I33" s="111"/>
      <c r="J33" s="111"/>
      <c r="K33" s="111"/>
      <c r="L33" s="111"/>
      <c r="M33" s="111"/>
      <c r="N33" s="111"/>
      <c r="O33" s="112"/>
      <c r="P33" s="123">
        <f>SUM(D33:O33)</f>
        <v>0</v>
      </c>
    </row>
    <row r="34" spans="1:16" ht="29.25" thickBot="1" x14ac:dyDescent="0.3">
      <c r="A34" s="37" t="str">
        <f>IF($B$34="","N","Y")</f>
        <v>N</v>
      </c>
      <c r="B34" s="137" t="str">
        <f>Emissions!G23</f>
        <v/>
      </c>
      <c r="C34" s="117" t="s">
        <v>91</v>
      </c>
      <c r="D34" s="113"/>
      <c r="E34" s="114"/>
      <c r="F34" s="114"/>
      <c r="G34" s="114"/>
      <c r="H34" s="114"/>
      <c r="I34" s="114"/>
      <c r="J34" s="114"/>
      <c r="K34" s="114"/>
      <c r="L34" s="114"/>
      <c r="M34" s="114"/>
      <c r="N34" s="114"/>
      <c r="O34" s="115"/>
      <c r="P34" s="127">
        <f>SUM(D34:O34)</f>
        <v>0</v>
      </c>
    </row>
    <row r="35" spans="1:16" ht="15.75" thickBot="1" x14ac:dyDescent="0.3"/>
    <row r="36" spans="1:16" ht="30" thickBot="1" x14ac:dyDescent="0.3">
      <c r="A36" s="37" t="str">
        <f>IF($B$37="","N","Y")</f>
        <v>N</v>
      </c>
      <c r="B36" s="138" t="str">
        <f>Emissions!C24</f>
        <v>Engine 10</v>
      </c>
      <c r="C36" s="38" t="s">
        <v>199</v>
      </c>
      <c r="D36" s="110"/>
      <c r="E36" s="111"/>
      <c r="F36" s="111"/>
      <c r="G36" s="111"/>
      <c r="H36" s="111"/>
      <c r="I36" s="111"/>
      <c r="J36" s="111"/>
      <c r="K36" s="111"/>
      <c r="L36" s="111"/>
      <c r="M36" s="111"/>
      <c r="N36" s="111"/>
      <c r="O36" s="112"/>
      <c r="P36" s="123">
        <f>SUM(D36:O36)</f>
        <v>0</v>
      </c>
    </row>
    <row r="37" spans="1:16" ht="29.25" thickBot="1" x14ac:dyDescent="0.3">
      <c r="A37" s="37" t="str">
        <f>IF($B$37="","N","Y")</f>
        <v>N</v>
      </c>
      <c r="B37" s="137" t="str">
        <f>Emissions!G24</f>
        <v/>
      </c>
      <c r="C37" s="117" t="s">
        <v>91</v>
      </c>
      <c r="D37" s="113"/>
      <c r="E37" s="114"/>
      <c r="F37" s="114"/>
      <c r="G37" s="114"/>
      <c r="H37" s="114"/>
      <c r="I37" s="114"/>
      <c r="J37" s="114"/>
      <c r="K37" s="114"/>
      <c r="L37" s="114"/>
      <c r="M37" s="114"/>
      <c r="N37" s="114"/>
      <c r="O37" s="115"/>
      <c r="P37" s="127">
        <f>SUM(D37:O37)</f>
        <v>0</v>
      </c>
    </row>
    <row r="38" spans="1:16" ht="15.75" thickBot="1" x14ac:dyDescent="0.3"/>
    <row r="39" spans="1:16" ht="30" thickBot="1" x14ac:dyDescent="0.3">
      <c r="A39" s="37" t="str">
        <f>IF($B$40="","N","Y")</f>
        <v>N</v>
      </c>
      <c r="B39" s="138" t="str">
        <f>Emissions!C25</f>
        <v>Engine 11</v>
      </c>
      <c r="C39" s="38" t="s">
        <v>199</v>
      </c>
      <c r="D39" s="110"/>
      <c r="E39" s="111"/>
      <c r="F39" s="111"/>
      <c r="G39" s="111"/>
      <c r="H39" s="111"/>
      <c r="I39" s="111"/>
      <c r="J39" s="111"/>
      <c r="K39" s="111"/>
      <c r="L39" s="111"/>
      <c r="M39" s="111"/>
      <c r="N39" s="111"/>
      <c r="O39" s="112"/>
      <c r="P39" s="123">
        <f>SUM(D39:O39)</f>
        <v>0</v>
      </c>
    </row>
    <row r="40" spans="1:16" ht="29.25" thickBot="1" x14ac:dyDescent="0.3">
      <c r="A40" s="37" t="str">
        <f>IF($B$40="","N","Y")</f>
        <v>N</v>
      </c>
      <c r="B40" s="137" t="str">
        <f>Emissions!G25</f>
        <v/>
      </c>
      <c r="C40" s="117" t="s">
        <v>91</v>
      </c>
      <c r="D40" s="113"/>
      <c r="E40" s="114"/>
      <c r="F40" s="114"/>
      <c r="G40" s="114"/>
      <c r="H40" s="114"/>
      <c r="I40" s="114"/>
      <c r="J40" s="114"/>
      <c r="K40" s="114"/>
      <c r="L40" s="114"/>
      <c r="M40" s="114"/>
      <c r="N40" s="114"/>
      <c r="O40" s="115"/>
      <c r="P40" s="127">
        <f>SUM(D40:O40)</f>
        <v>0</v>
      </c>
    </row>
    <row r="41" spans="1:16" ht="15.75" thickBot="1" x14ac:dyDescent="0.3"/>
    <row r="42" spans="1:16" ht="30" thickBot="1" x14ac:dyDescent="0.3">
      <c r="A42" s="37" t="str">
        <f>IF($B$43="","N","Y")</f>
        <v>N</v>
      </c>
      <c r="B42" s="138" t="str">
        <f>Emissions!C26</f>
        <v>Engine 12</v>
      </c>
      <c r="C42" s="38" t="s">
        <v>199</v>
      </c>
      <c r="D42" s="110"/>
      <c r="E42" s="111"/>
      <c r="F42" s="111"/>
      <c r="G42" s="111"/>
      <c r="H42" s="111"/>
      <c r="I42" s="111"/>
      <c r="J42" s="111"/>
      <c r="K42" s="111"/>
      <c r="L42" s="111"/>
      <c r="M42" s="111"/>
      <c r="N42" s="111"/>
      <c r="O42" s="112"/>
      <c r="P42" s="123">
        <f>SUM(D42:O42)</f>
        <v>0</v>
      </c>
    </row>
    <row r="43" spans="1:16" ht="29.25" thickBot="1" x14ac:dyDescent="0.3">
      <c r="A43" s="37" t="str">
        <f>IF($B$43="","N","Y")</f>
        <v>N</v>
      </c>
      <c r="B43" s="137" t="str">
        <f>Emissions!G26</f>
        <v/>
      </c>
      <c r="C43" s="117" t="s">
        <v>91</v>
      </c>
      <c r="D43" s="113"/>
      <c r="E43" s="114"/>
      <c r="F43" s="114"/>
      <c r="G43" s="114"/>
      <c r="H43" s="114"/>
      <c r="I43" s="114"/>
      <c r="J43" s="114"/>
      <c r="K43" s="114"/>
      <c r="L43" s="114"/>
      <c r="M43" s="114"/>
      <c r="N43" s="114"/>
      <c r="O43" s="115"/>
      <c r="P43" s="127">
        <f>SUM(D43:O43)</f>
        <v>0</v>
      </c>
    </row>
    <row r="44" spans="1:16" ht="15.75" thickBot="1" x14ac:dyDescent="0.3"/>
    <row r="45" spans="1:16" ht="30" thickBot="1" x14ac:dyDescent="0.3">
      <c r="A45" s="37" t="str">
        <f>IF($B$46="","N","Y")</f>
        <v>N</v>
      </c>
      <c r="B45" s="138" t="str">
        <f>Emissions!C27</f>
        <v>Engine 13</v>
      </c>
      <c r="C45" s="38" t="s">
        <v>199</v>
      </c>
      <c r="D45" s="110"/>
      <c r="E45" s="111"/>
      <c r="F45" s="111"/>
      <c r="G45" s="111"/>
      <c r="H45" s="111"/>
      <c r="I45" s="111"/>
      <c r="J45" s="111"/>
      <c r="K45" s="111"/>
      <c r="L45" s="111"/>
      <c r="M45" s="111"/>
      <c r="N45" s="111"/>
      <c r="O45" s="112"/>
      <c r="P45" s="123">
        <f>SUM(D45:O45)</f>
        <v>0</v>
      </c>
    </row>
    <row r="46" spans="1:16" ht="29.25" thickBot="1" x14ac:dyDescent="0.3">
      <c r="A46" s="37" t="str">
        <f>IF($B$46="","N","Y")</f>
        <v>N</v>
      </c>
      <c r="B46" s="137" t="str">
        <f>Emissions!G27</f>
        <v/>
      </c>
      <c r="C46" s="117" t="s">
        <v>91</v>
      </c>
      <c r="D46" s="113"/>
      <c r="E46" s="114"/>
      <c r="F46" s="114"/>
      <c r="G46" s="114"/>
      <c r="H46" s="114"/>
      <c r="I46" s="114"/>
      <c r="J46" s="114"/>
      <c r="K46" s="114"/>
      <c r="L46" s="114"/>
      <c r="M46" s="114"/>
      <c r="N46" s="114"/>
      <c r="O46" s="115"/>
      <c r="P46" s="127">
        <f>SUM(D46:O46)</f>
        <v>0</v>
      </c>
    </row>
    <row r="47" spans="1:16" ht="15.75" thickBot="1" x14ac:dyDescent="0.3"/>
    <row r="48" spans="1:16" ht="30" thickBot="1" x14ac:dyDescent="0.3">
      <c r="A48" s="37" t="str">
        <f>IF($B$49="","N","Y")</f>
        <v>N</v>
      </c>
      <c r="B48" s="138" t="str">
        <f>Emissions!C28</f>
        <v>Engine 14</v>
      </c>
      <c r="C48" s="38" t="s">
        <v>199</v>
      </c>
      <c r="D48" s="110"/>
      <c r="E48" s="111"/>
      <c r="F48" s="111"/>
      <c r="G48" s="111"/>
      <c r="H48" s="111"/>
      <c r="I48" s="111"/>
      <c r="J48" s="111"/>
      <c r="K48" s="111"/>
      <c r="L48" s="111"/>
      <c r="M48" s="111"/>
      <c r="N48" s="111"/>
      <c r="O48" s="112"/>
      <c r="P48" s="123">
        <f>SUM(D48:O48)</f>
        <v>0</v>
      </c>
    </row>
    <row r="49" spans="1:16" ht="29.25" thickBot="1" x14ac:dyDescent="0.3">
      <c r="A49" s="37" t="str">
        <f>IF($B$49="","N","Y")</f>
        <v>N</v>
      </c>
      <c r="B49" s="137" t="str">
        <f>Emissions!G28</f>
        <v/>
      </c>
      <c r="C49" s="117" t="s">
        <v>91</v>
      </c>
      <c r="D49" s="113"/>
      <c r="E49" s="114"/>
      <c r="F49" s="114"/>
      <c r="G49" s="114"/>
      <c r="H49" s="114"/>
      <c r="I49" s="114"/>
      <c r="J49" s="114"/>
      <c r="K49" s="114"/>
      <c r="L49" s="114"/>
      <c r="M49" s="114"/>
      <c r="N49" s="114"/>
      <c r="O49" s="115"/>
      <c r="P49" s="127">
        <f>SUM(D49:O49)</f>
        <v>0</v>
      </c>
    </row>
    <row r="50" spans="1:16" ht="15.75" thickBot="1" x14ac:dyDescent="0.3"/>
    <row r="51" spans="1:16" ht="30" thickBot="1" x14ac:dyDescent="0.3">
      <c r="A51" s="37" t="str">
        <f>IF($B$52="","N","Y")</f>
        <v>N</v>
      </c>
      <c r="B51" s="138" t="str">
        <f>Emissions!C29</f>
        <v>Engine 15</v>
      </c>
      <c r="C51" s="38" t="s">
        <v>199</v>
      </c>
      <c r="D51" s="110"/>
      <c r="E51" s="111"/>
      <c r="F51" s="111"/>
      <c r="G51" s="111"/>
      <c r="H51" s="111"/>
      <c r="I51" s="111"/>
      <c r="J51" s="111"/>
      <c r="K51" s="111"/>
      <c r="L51" s="111"/>
      <c r="M51" s="111"/>
      <c r="N51" s="111"/>
      <c r="O51" s="112"/>
      <c r="P51" s="123">
        <f>SUM(D51:O51)</f>
        <v>0</v>
      </c>
    </row>
    <row r="52" spans="1:16" ht="29.25" thickBot="1" x14ac:dyDescent="0.3">
      <c r="A52" s="37" t="str">
        <f>IF($B$52="","N","Y")</f>
        <v>N</v>
      </c>
      <c r="B52" s="137" t="str">
        <f>Emissions!G29</f>
        <v/>
      </c>
      <c r="C52" s="117" t="s">
        <v>91</v>
      </c>
      <c r="D52" s="113"/>
      <c r="E52" s="114"/>
      <c r="F52" s="114"/>
      <c r="G52" s="114"/>
      <c r="H52" s="114"/>
      <c r="I52" s="114"/>
      <c r="J52" s="114"/>
      <c r="K52" s="114"/>
      <c r="L52" s="114"/>
      <c r="M52" s="114"/>
      <c r="N52" s="114"/>
      <c r="O52" s="115"/>
      <c r="P52" s="127">
        <f>SUM(D52:O52)</f>
        <v>0</v>
      </c>
    </row>
    <row r="53" spans="1:16" ht="15.75" thickBot="1" x14ac:dyDescent="0.3"/>
    <row r="54" spans="1:16" ht="30" thickBot="1" x14ac:dyDescent="0.3">
      <c r="A54" s="37" t="str">
        <f>IF($B$55="","N","Y")</f>
        <v>N</v>
      </c>
      <c r="B54" s="138" t="str">
        <f>Emissions!C30</f>
        <v>Engine 16</v>
      </c>
      <c r="C54" s="38" t="s">
        <v>199</v>
      </c>
      <c r="D54" s="110"/>
      <c r="E54" s="111"/>
      <c r="F54" s="111"/>
      <c r="G54" s="111"/>
      <c r="H54" s="111"/>
      <c r="I54" s="111"/>
      <c r="J54" s="111"/>
      <c r="K54" s="111"/>
      <c r="L54" s="111"/>
      <c r="M54" s="111"/>
      <c r="N54" s="111"/>
      <c r="O54" s="112"/>
      <c r="P54" s="123">
        <f>SUM(D54:O54)</f>
        <v>0</v>
      </c>
    </row>
    <row r="55" spans="1:16" ht="29.25" thickBot="1" x14ac:dyDescent="0.3">
      <c r="A55" s="37" t="str">
        <f>IF($B$55="","N","Y")</f>
        <v>N</v>
      </c>
      <c r="B55" s="137" t="str">
        <f>Emissions!G30</f>
        <v/>
      </c>
      <c r="C55" s="117" t="s">
        <v>91</v>
      </c>
      <c r="D55" s="113"/>
      <c r="E55" s="114"/>
      <c r="F55" s="114"/>
      <c r="G55" s="114"/>
      <c r="H55" s="114"/>
      <c r="I55" s="114"/>
      <c r="J55" s="114"/>
      <c r="K55" s="114"/>
      <c r="L55" s="114"/>
      <c r="M55" s="114"/>
      <c r="N55" s="114"/>
      <c r="O55" s="115"/>
      <c r="P55" s="127">
        <f>SUM(D55:O55)</f>
        <v>0</v>
      </c>
    </row>
    <row r="56" spans="1:16" ht="15.75" thickBot="1" x14ac:dyDescent="0.3"/>
    <row r="57" spans="1:16" ht="30" thickBot="1" x14ac:dyDescent="0.3">
      <c r="A57" s="37" t="str">
        <f>IF($B$58="","N","Y")</f>
        <v>N</v>
      </c>
      <c r="B57" s="138" t="str">
        <f>Emissions!C31</f>
        <v>Engine 17</v>
      </c>
      <c r="C57" s="38" t="s">
        <v>199</v>
      </c>
      <c r="D57" s="110"/>
      <c r="E57" s="111"/>
      <c r="F57" s="111"/>
      <c r="G57" s="111"/>
      <c r="H57" s="111"/>
      <c r="I57" s="111"/>
      <c r="J57" s="111"/>
      <c r="K57" s="111"/>
      <c r="L57" s="111"/>
      <c r="M57" s="111"/>
      <c r="N57" s="111"/>
      <c r="O57" s="112"/>
      <c r="P57" s="123">
        <f>SUM(D57:O57)</f>
        <v>0</v>
      </c>
    </row>
    <row r="58" spans="1:16" ht="29.25" thickBot="1" x14ac:dyDescent="0.3">
      <c r="A58" s="37" t="str">
        <f>IF($B$58="","N","Y")</f>
        <v>N</v>
      </c>
      <c r="B58" s="137" t="str">
        <f>Emissions!G31</f>
        <v/>
      </c>
      <c r="C58" s="117" t="s">
        <v>91</v>
      </c>
      <c r="D58" s="113"/>
      <c r="E58" s="114"/>
      <c r="F58" s="114"/>
      <c r="G58" s="114"/>
      <c r="H58" s="114"/>
      <c r="I58" s="114"/>
      <c r="J58" s="114"/>
      <c r="K58" s="114"/>
      <c r="L58" s="114"/>
      <c r="M58" s="114"/>
      <c r="N58" s="114"/>
      <c r="O58" s="115"/>
      <c r="P58" s="127">
        <f>SUM(D58:O58)</f>
        <v>0</v>
      </c>
    </row>
    <row r="59" spans="1:16" ht="15.75" thickBot="1" x14ac:dyDescent="0.3"/>
    <row r="60" spans="1:16" ht="30" thickBot="1" x14ac:dyDescent="0.3">
      <c r="A60" s="37" t="str">
        <f>IF($B$61="","N","Y")</f>
        <v>N</v>
      </c>
      <c r="B60" s="138" t="str">
        <f>Emissions!C32</f>
        <v>Engine 18</v>
      </c>
      <c r="C60" s="38" t="s">
        <v>199</v>
      </c>
      <c r="D60" s="110"/>
      <c r="E60" s="111"/>
      <c r="F60" s="111"/>
      <c r="G60" s="111"/>
      <c r="H60" s="111"/>
      <c r="I60" s="111"/>
      <c r="J60" s="111"/>
      <c r="K60" s="111"/>
      <c r="L60" s="111"/>
      <c r="M60" s="111"/>
      <c r="N60" s="111"/>
      <c r="O60" s="112"/>
      <c r="P60" s="123">
        <f>SUM(D60:O60)</f>
        <v>0</v>
      </c>
    </row>
    <row r="61" spans="1:16" ht="29.25" thickBot="1" x14ac:dyDescent="0.3">
      <c r="A61" s="37" t="str">
        <f>IF($B$61="","N","Y")</f>
        <v>N</v>
      </c>
      <c r="B61" s="137" t="str">
        <f>Emissions!G32</f>
        <v/>
      </c>
      <c r="C61" s="117" t="s">
        <v>91</v>
      </c>
      <c r="D61" s="113"/>
      <c r="E61" s="114"/>
      <c r="F61" s="114"/>
      <c r="G61" s="114"/>
      <c r="H61" s="114"/>
      <c r="I61" s="114"/>
      <c r="J61" s="114"/>
      <c r="K61" s="114"/>
      <c r="L61" s="114"/>
      <c r="M61" s="114"/>
      <c r="N61" s="114"/>
      <c r="O61" s="115"/>
      <c r="P61" s="127">
        <f>SUM(D61:O61)</f>
        <v>0</v>
      </c>
    </row>
    <row r="62" spans="1:16" ht="15.75" thickBot="1" x14ac:dyDescent="0.3"/>
    <row r="63" spans="1:16" ht="30" thickBot="1" x14ac:dyDescent="0.3">
      <c r="A63" s="37" t="str">
        <f>IF($B$64="","N","Y")</f>
        <v>N</v>
      </c>
      <c r="B63" s="138" t="str">
        <f>Emissions!C33</f>
        <v>Engine 19</v>
      </c>
      <c r="C63" s="38" t="s">
        <v>199</v>
      </c>
      <c r="D63" s="110"/>
      <c r="E63" s="111"/>
      <c r="F63" s="111"/>
      <c r="G63" s="111"/>
      <c r="H63" s="111"/>
      <c r="I63" s="111"/>
      <c r="J63" s="111"/>
      <c r="K63" s="111"/>
      <c r="L63" s="111"/>
      <c r="M63" s="111"/>
      <c r="N63" s="111"/>
      <c r="O63" s="112"/>
      <c r="P63" s="123">
        <f>SUM(D63:O63)</f>
        <v>0</v>
      </c>
    </row>
    <row r="64" spans="1:16" ht="29.25" thickBot="1" x14ac:dyDescent="0.3">
      <c r="A64" s="37" t="str">
        <f>IF($B$64="","N","Y")</f>
        <v>N</v>
      </c>
      <c r="B64" s="137" t="str">
        <f>Emissions!G33</f>
        <v/>
      </c>
      <c r="C64" s="117" t="s">
        <v>91</v>
      </c>
      <c r="D64" s="113"/>
      <c r="E64" s="114"/>
      <c r="F64" s="114"/>
      <c r="G64" s="114"/>
      <c r="H64" s="114"/>
      <c r="I64" s="114"/>
      <c r="J64" s="114"/>
      <c r="K64" s="114"/>
      <c r="L64" s="114"/>
      <c r="M64" s="114"/>
      <c r="N64" s="114"/>
      <c r="O64" s="115"/>
      <c r="P64" s="127">
        <f>SUM(D64:O64)</f>
        <v>0</v>
      </c>
    </row>
    <row r="65" spans="1:16" ht="15.75" thickBot="1" x14ac:dyDescent="0.3"/>
    <row r="66" spans="1:16" ht="30" thickBot="1" x14ac:dyDescent="0.3">
      <c r="A66" s="37" t="str">
        <f>IF($B$67="","N","Y")</f>
        <v>N</v>
      </c>
      <c r="B66" s="138" t="str">
        <f>Emissions!C34</f>
        <v>Engine 20</v>
      </c>
      <c r="C66" s="38" t="s">
        <v>199</v>
      </c>
      <c r="D66" s="110"/>
      <c r="E66" s="111"/>
      <c r="F66" s="111"/>
      <c r="G66" s="111"/>
      <c r="H66" s="111"/>
      <c r="I66" s="111"/>
      <c r="J66" s="111"/>
      <c r="K66" s="111"/>
      <c r="L66" s="111"/>
      <c r="M66" s="111"/>
      <c r="N66" s="111"/>
      <c r="O66" s="112"/>
      <c r="P66" s="123">
        <f>SUM(D66:O66)</f>
        <v>0</v>
      </c>
    </row>
    <row r="67" spans="1:16" ht="29.25" thickBot="1" x14ac:dyDescent="0.3">
      <c r="A67" s="37" t="str">
        <f>IF($B$67="","N","Y")</f>
        <v>N</v>
      </c>
      <c r="B67" s="137" t="str">
        <f>Emissions!G34</f>
        <v/>
      </c>
      <c r="C67" s="117" t="s">
        <v>91</v>
      </c>
      <c r="D67" s="113"/>
      <c r="E67" s="114"/>
      <c r="F67" s="114"/>
      <c r="G67" s="114"/>
      <c r="H67" s="114"/>
      <c r="I67" s="114"/>
      <c r="J67" s="114"/>
      <c r="K67" s="114"/>
      <c r="L67" s="114"/>
      <c r="M67" s="114"/>
      <c r="N67" s="114"/>
      <c r="O67" s="115"/>
      <c r="P67" s="127">
        <f>SUM(D67:O67)</f>
        <v>0</v>
      </c>
    </row>
    <row r="68" spans="1:16" ht="15.75" thickBot="1" x14ac:dyDescent="0.3"/>
    <row r="69" spans="1:16" ht="30" thickBot="1" x14ac:dyDescent="0.3">
      <c r="A69" s="37" t="str">
        <f>IF($B$70="","N","Y")</f>
        <v>N</v>
      </c>
      <c r="B69" s="138" t="str">
        <f>Emissions!C35</f>
        <v>Engine 21</v>
      </c>
      <c r="C69" s="38" t="s">
        <v>199</v>
      </c>
      <c r="D69" s="110"/>
      <c r="E69" s="111"/>
      <c r="F69" s="111"/>
      <c r="G69" s="111"/>
      <c r="H69" s="111"/>
      <c r="I69" s="111"/>
      <c r="J69" s="111"/>
      <c r="K69" s="111"/>
      <c r="L69" s="111"/>
      <c r="M69" s="111"/>
      <c r="N69" s="111"/>
      <c r="O69" s="112"/>
      <c r="P69" s="123">
        <f>SUM(D69:O69)</f>
        <v>0</v>
      </c>
    </row>
    <row r="70" spans="1:16" ht="29.25" thickBot="1" x14ac:dyDescent="0.3">
      <c r="A70" s="37" t="str">
        <f>IF($B$70="","N","Y")</f>
        <v>N</v>
      </c>
      <c r="B70" s="137" t="str">
        <f>Emissions!G35</f>
        <v/>
      </c>
      <c r="C70" s="117" t="s">
        <v>91</v>
      </c>
      <c r="D70" s="113"/>
      <c r="E70" s="114"/>
      <c r="F70" s="114"/>
      <c r="G70" s="114"/>
      <c r="H70" s="114"/>
      <c r="I70" s="114"/>
      <c r="J70" s="114"/>
      <c r="K70" s="114"/>
      <c r="L70" s="114"/>
      <c r="M70" s="114"/>
      <c r="N70" s="114"/>
      <c r="O70" s="115"/>
      <c r="P70" s="127">
        <f>SUM(D70:O70)</f>
        <v>0</v>
      </c>
    </row>
    <row r="71" spans="1:16" ht="15.75" thickBot="1" x14ac:dyDescent="0.3"/>
    <row r="72" spans="1:16" ht="30" thickBot="1" x14ac:dyDescent="0.3">
      <c r="A72" s="37" t="str">
        <f>IF($B$73="","N","Y")</f>
        <v>N</v>
      </c>
      <c r="B72" s="138" t="str">
        <f>Emissions!C36</f>
        <v>Engine 22</v>
      </c>
      <c r="C72" s="38" t="s">
        <v>199</v>
      </c>
      <c r="D72" s="110"/>
      <c r="E72" s="111"/>
      <c r="F72" s="111"/>
      <c r="G72" s="111"/>
      <c r="H72" s="111"/>
      <c r="I72" s="111"/>
      <c r="J72" s="111"/>
      <c r="K72" s="111"/>
      <c r="L72" s="111"/>
      <c r="M72" s="111"/>
      <c r="N72" s="111"/>
      <c r="O72" s="112"/>
      <c r="P72" s="123">
        <f>SUM(D72:O72)</f>
        <v>0</v>
      </c>
    </row>
    <row r="73" spans="1:16" ht="29.25" thickBot="1" x14ac:dyDescent="0.3">
      <c r="A73" s="37" t="str">
        <f>IF($B$73="","N","Y")</f>
        <v>N</v>
      </c>
      <c r="B73" s="137" t="str">
        <f>Emissions!G36</f>
        <v/>
      </c>
      <c r="C73" s="117" t="s">
        <v>91</v>
      </c>
      <c r="D73" s="113"/>
      <c r="E73" s="114"/>
      <c r="F73" s="114"/>
      <c r="G73" s="114"/>
      <c r="H73" s="114"/>
      <c r="I73" s="114"/>
      <c r="J73" s="114"/>
      <c r="K73" s="114"/>
      <c r="L73" s="114"/>
      <c r="M73" s="114"/>
      <c r="N73" s="114"/>
      <c r="O73" s="115"/>
      <c r="P73" s="127">
        <f>SUM(D73:O73)</f>
        <v>0</v>
      </c>
    </row>
    <row r="74" spans="1:16" ht="15.75" thickBot="1" x14ac:dyDescent="0.3"/>
    <row r="75" spans="1:16" ht="30" thickBot="1" x14ac:dyDescent="0.3">
      <c r="A75" s="37" t="str">
        <f>IF($B$76="","N","Y")</f>
        <v>N</v>
      </c>
      <c r="B75" s="138" t="str">
        <f>Emissions!C37</f>
        <v>Engine 23</v>
      </c>
      <c r="C75" s="38" t="s">
        <v>199</v>
      </c>
      <c r="D75" s="110"/>
      <c r="E75" s="111"/>
      <c r="F75" s="111"/>
      <c r="G75" s="111"/>
      <c r="H75" s="111"/>
      <c r="I75" s="111"/>
      <c r="J75" s="111"/>
      <c r="K75" s="111"/>
      <c r="L75" s="111"/>
      <c r="M75" s="111"/>
      <c r="N75" s="111"/>
      <c r="O75" s="112"/>
      <c r="P75" s="123">
        <f>SUM(D75:O75)</f>
        <v>0</v>
      </c>
    </row>
    <row r="76" spans="1:16" ht="29.25" thickBot="1" x14ac:dyDescent="0.3">
      <c r="A76" s="37" t="str">
        <f>IF($B$76="","N","Y")</f>
        <v>N</v>
      </c>
      <c r="B76" s="137" t="str">
        <f>Emissions!G37</f>
        <v/>
      </c>
      <c r="C76" s="117" t="s">
        <v>91</v>
      </c>
      <c r="D76" s="113"/>
      <c r="E76" s="114"/>
      <c r="F76" s="114"/>
      <c r="G76" s="114"/>
      <c r="H76" s="114"/>
      <c r="I76" s="114"/>
      <c r="J76" s="114"/>
      <c r="K76" s="114"/>
      <c r="L76" s="114"/>
      <c r="M76" s="114"/>
      <c r="N76" s="114"/>
      <c r="O76" s="115"/>
      <c r="P76" s="127">
        <f>SUM(D76:O76)</f>
        <v>0</v>
      </c>
    </row>
    <row r="77" spans="1:16" ht="15.75" thickBot="1" x14ac:dyDescent="0.3"/>
    <row r="78" spans="1:16" ht="30" thickBot="1" x14ac:dyDescent="0.3">
      <c r="A78" s="37" t="str">
        <f>IF($B$79="","N","Y")</f>
        <v>N</v>
      </c>
      <c r="B78" s="138" t="str">
        <f>Emissions!C38</f>
        <v>Engine 24</v>
      </c>
      <c r="C78" s="38" t="s">
        <v>199</v>
      </c>
      <c r="D78" s="110"/>
      <c r="E78" s="111"/>
      <c r="F78" s="111"/>
      <c r="G78" s="111"/>
      <c r="H78" s="111"/>
      <c r="I78" s="111"/>
      <c r="J78" s="111"/>
      <c r="K78" s="111"/>
      <c r="L78" s="111"/>
      <c r="M78" s="111"/>
      <c r="N78" s="111"/>
      <c r="O78" s="112"/>
      <c r="P78" s="123">
        <f>SUM(D78:O78)</f>
        <v>0</v>
      </c>
    </row>
    <row r="79" spans="1:16" ht="29.25" thickBot="1" x14ac:dyDescent="0.3">
      <c r="A79" s="37" t="str">
        <f>IF($B$79="","N","Y")</f>
        <v>N</v>
      </c>
      <c r="B79" s="137" t="str">
        <f>Emissions!G38</f>
        <v/>
      </c>
      <c r="C79" s="117" t="s">
        <v>91</v>
      </c>
      <c r="D79" s="113"/>
      <c r="E79" s="114"/>
      <c r="F79" s="114"/>
      <c r="G79" s="114"/>
      <c r="H79" s="114"/>
      <c r="I79" s="114"/>
      <c r="J79" s="114"/>
      <c r="K79" s="114"/>
      <c r="L79" s="114"/>
      <c r="M79" s="114"/>
      <c r="N79" s="114"/>
      <c r="O79" s="115"/>
      <c r="P79" s="127">
        <f>SUM(D79:O79)</f>
        <v>0</v>
      </c>
    </row>
    <row r="80" spans="1:16" ht="15.75" thickBot="1" x14ac:dyDescent="0.3"/>
    <row r="81" spans="1:16" ht="30" thickBot="1" x14ac:dyDescent="0.3">
      <c r="A81" s="37" t="str">
        <f>IF($B$82="","N","Y")</f>
        <v>N</v>
      </c>
      <c r="B81" s="138" t="str">
        <f>Emissions!C39</f>
        <v>Engine 25</v>
      </c>
      <c r="C81" s="38" t="s">
        <v>199</v>
      </c>
      <c r="D81" s="110"/>
      <c r="E81" s="111"/>
      <c r="F81" s="111"/>
      <c r="G81" s="111"/>
      <c r="H81" s="111"/>
      <c r="I81" s="111"/>
      <c r="J81" s="111"/>
      <c r="K81" s="111"/>
      <c r="L81" s="111"/>
      <c r="M81" s="111"/>
      <c r="N81" s="111"/>
      <c r="O81" s="112"/>
      <c r="P81" s="123">
        <f>SUM(D81:O81)</f>
        <v>0</v>
      </c>
    </row>
    <row r="82" spans="1:16" ht="29.25" thickBot="1" x14ac:dyDescent="0.3">
      <c r="A82" s="37" t="str">
        <f>IF($B$82="","N","Y")</f>
        <v>N</v>
      </c>
      <c r="B82" s="137" t="str">
        <f>Emissions!G39</f>
        <v/>
      </c>
      <c r="C82" s="117" t="s">
        <v>91</v>
      </c>
      <c r="D82" s="113"/>
      <c r="E82" s="114"/>
      <c r="F82" s="114"/>
      <c r="G82" s="114"/>
      <c r="H82" s="114"/>
      <c r="I82" s="114"/>
      <c r="J82" s="114"/>
      <c r="K82" s="114"/>
      <c r="L82" s="114"/>
      <c r="M82" s="114"/>
      <c r="N82" s="114"/>
      <c r="O82" s="115"/>
      <c r="P82" s="127">
        <f>SUM(D82:O82)</f>
        <v>0</v>
      </c>
    </row>
    <row r="83" spans="1:16" ht="15.75" thickBot="1" x14ac:dyDescent="0.3"/>
    <row r="84" spans="1:16" ht="30" thickBot="1" x14ac:dyDescent="0.3">
      <c r="A84" s="37" t="str">
        <f>IF($B$85="","N","Y")</f>
        <v>N</v>
      </c>
      <c r="B84" s="138" t="str">
        <f>Emissions!C40</f>
        <v>Engine 26</v>
      </c>
      <c r="C84" s="38" t="s">
        <v>199</v>
      </c>
      <c r="D84" s="110"/>
      <c r="E84" s="111"/>
      <c r="F84" s="111"/>
      <c r="G84" s="111"/>
      <c r="H84" s="111"/>
      <c r="I84" s="111"/>
      <c r="J84" s="111"/>
      <c r="K84" s="111"/>
      <c r="L84" s="111"/>
      <c r="M84" s="111"/>
      <c r="N84" s="111"/>
      <c r="O84" s="112"/>
      <c r="P84" s="123">
        <f>SUM(D84:O84)</f>
        <v>0</v>
      </c>
    </row>
    <row r="85" spans="1:16" ht="29.25" thickBot="1" x14ac:dyDescent="0.3">
      <c r="A85" s="37" t="str">
        <f>IF($B$85="","N","Y")</f>
        <v>N</v>
      </c>
      <c r="B85" s="137" t="str">
        <f>Emissions!G40</f>
        <v/>
      </c>
      <c r="C85" s="117" t="s">
        <v>91</v>
      </c>
      <c r="D85" s="113"/>
      <c r="E85" s="114"/>
      <c r="F85" s="114"/>
      <c r="G85" s="114"/>
      <c r="H85" s="114"/>
      <c r="I85" s="114"/>
      <c r="J85" s="114"/>
      <c r="K85" s="114"/>
      <c r="L85" s="114"/>
      <c r="M85" s="114"/>
      <c r="N85" s="114"/>
      <c r="O85" s="115"/>
      <c r="P85" s="127">
        <f>SUM(D85:O85)</f>
        <v>0</v>
      </c>
    </row>
    <row r="86" spans="1:16" ht="15.75" thickBot="1" x14ac:dyDescent="0.3"/>
    <row r="87" spans="1:16" ht="30" thickBot="1" x14ac:dyDescent="0.3">
      <c r="A87" s="37" t="str">
        <f>IF($B$88="","N","Y")</f>
        <v>N</v>
      </c>
      <c r="B87" s="138" t="str">
        <f>Emissions!C41</f>
        <v>Engine 27</v>
      </c>
      <c r="C87" s="38" t="s">
        <v>199</v>
      </c>
      <c r="D87" s="110"/>
      <c r="E87" s="111"/>
      <c r="F87" s="111"/>
      <c r="G87" s="111"/>
      <c r="H87" s="111"/>
      <c r="I87" s="111"/>
      <c r="J87" s="111"/>
      <c r="K87" s="111"/>
      <c r="L87" s="111"/>
      <c r="M87" s="111"/>
      <c r="N87" s="111"/>
      <c r="O87" s="112"/>
      <c r="P87" s="123">
        <f>SUM(D87:O87)</f>
        <v>0</v>
      </c>
    </row>
    <row r="88" spans="1:16" ht="29.25" thickBot="1" x14ac:dyDescent="0.3">
      <c r="A88" s="37" t="str">
        <f>IF($B$88="","N","Y")</f>
        <v>N</v>
      </c>
      <c r="B88" s="137" t="str">
        <f>Emissions!G41</f>
        <v/>
      </c>
      <c r="C88" s="117" t="s">
        <v>91</v>
      </c>
      <c r="D88" s="113"/>
      <c r="E88" s="114"/>
      <c r="F88" s="114"/>
      <c r="G88" s="114"/>
      <c r="H88" s="114"/>
      <c r="I88" s="114"/>
      <c r="J88" s="114"/>
      <c r="K88" s="114"/>
      <c r="L88" s="114"/>
      <c r="M88" s="114"/>
      <c r="N88" s="114"/>
      <c r="O88" s="115"/>
      <c r="P88" s="127">
        <f>SUM(D88:O88)</f>
        <v>0</v>
      </c>
    </row>
    <row r="89" spans="1:16" ht="15.75" thickBot="1" x14ac:dyDescent="0.3"/>
    <row r="90" spans="1:16" ht="30" thickBot="1" x14ac:dyDescent="0.3">
      <c r="A90" s="37" t="str">
        <f>IF($B$91="","N","Y")</f>
        <v>N</v>
      </c>
      <c r="B90" s="138" t="str">
        <f>Emissions!C42</f>
        <v>Engine 28</v>
      </c>
      <c r="C90" s="38" t="s">
        <v>199</v>
      </c>
      <c r="D90" s="110"/>
      <c r="E90" s="111"/>
      <c r="F90" s="111"/>
      <c r="G90" s="111"/>
      <c r="H90" s="111"/>
      <c r="I90" s="111"/>
      <c r="J90" s="111"/>
      <c r="K90" s="111"/>
      <c r="L90" s="111"/>
      <c r="M90" s="111"/>
      <c r="N90" s="111"/>
      <c r="O90" s="112"/>
      <c r="P90" s="123">
        <f>SUM(D90:O90)</f>
        <v>0</v>
      </c>
    </row>
    <row r="91" spans="1:16" ht="29.25" thickBot="1" x14ac:dyDescent="0.3">
      <c r="A91" s="37" t="str">
        <f>IF($B$91="","N","Y")</f>
        <v>N</v>
      </c>
      <c r="B91" s="137" t="str">
        <f>Emissions!G42</f>
        <v/>
      </c>
      <c r="C91" s="117" t="s">
        <v>91</v>
      </c>
      <c r="D91" s="113"/>
      <c r="E91" s="114"/>
      <c r="F91" s="114"/>
      <c r="G91" s="114"/>
      <c r="H91" s="114"/>
      <c r="I91" s="114"/>
      <c r="J91" s="114"/>
      <c r="K91" s="114"/>
      <c r="L91" s="114"/>
      <c r="M91" s="114"/>
      <c r="N91" s="114"/>
      <c r="O91" s="115"/>
      <c r="P91" s="127">
        <f>SUM(D91:O91)</f>
        <v>0</v>
      </c>
    </row>
    <row r="92" spans="1:16" ht="15.75" thickBot="1" x14ac:dyDescent="0.3"/>
    <row r="93" spans="1:16" ht="30" thickBot="1" x14ac:dyDescent="0.3">
      <c r="A93" s="37" t="str">
        <f>IF($B$94="","N","Y")</f>
        <v>N</v>
      </c>
      <c r="B93" s="138" t="str">
        <f>Emissions!C43</f>
        <v>Engine 29</v>
      </c>
      <c r="C93" s="38" t="s">
        <v>199</v>
      </c>
      <c r="D93" s="110"/>
      <c r="E93" s="111"/>
      <c r="F93" s="111"/>
      <c r="G93" s="111"/>
      <c r="H93" s="111"/>
      <c r="I93" s="111"/>
      <c r="J93" s="111"/>
      <c r="K93" s="111"/>
      <c r="L93" s="111"/>
      <c r="M93" s="111"/>
      <c r="N93" s="111"/>
      <c r="O93" s="112"/>
      <c r="P93" s="123">
        <f>SUM(D93:O93)</f>
        <v>0</v>
      </c>
    </row>
    <row r="94" spans="1:16" ht="29.25" thickBot="1" x14ac:dyDescent="0.3">
      <c r="A94" s="37" t="str">
        <f>IF($B$94="","N","Y")</f>
        <v>N</v>
      </c>
      <c r="B94" s="137" t="str">
        <f>Emissions!G43</f>
        <v/>
      </c>
      <c r="C94" s="117" t="s">
        <v>91</v>
      </c>
      <c r="D94" s="113"/>
      <c r="E94" s="114"/>
      <c r="F94" s="114"/>
      <c r="G94" s="114"/>
      <c r="H94" s="114"/>
      <c r="I94" s="114"/>
      <c r="J94" s="114"/>
      <c r="K94" s="114"/>
      <c r="L94" s="114"/>
      <c r="M94" s="114"/>
      <c r="N94" s="114"/>
      <c r="O94" s="115"/>
      <c r="P94" s="127">
        <f>SUM(D94:O94)</f>
        <v>0</v>
      </c>
    </row>
    <row r="95" spans="1:16" ht="15.75" thickBot="1" x14ac:dyDescent="0.3"/>
    <row r="96" spans="1:16" ht="30" thickBot="1" x14ac:dyDescent="0.3">
      <c r="A96" s="37" t="str">
        <f>IF($B$97="","N","Y")</f>
        <v>N</v>
      </c>
      <c r="B96" s="138" t="str">
        <f>Emissions!C44</f>
        <v>Engine 30</v>
      </c>
      <c r="C96" s="38" t="s">
        <v>199</v>
      </c>
      <c r="D96" s="110"/>
      <c r="E96" s="111"/>
      <c r="F96" s="111"/>
      <c r="G96" s="111"/>
      <c r="H96" s="111"/>
      <c r="I96" s="111"/>
      <c r="J96" s="111"/>
      <c r="K96" s="111"/>
      <c r="L96" s="111"/>
      <c r="M96" s="111"/>
      <c r="N96" s="111"/>
      <c r="O96" s="112"/>
      <c r="P96" s="123">
        <f>SUM(D96:O96)</f>
        <v>0</v>
      </c>
    </row>
    <row r="97" spans="1:16" ht="29.25" thickBot="1" x14ac:dyDescent="0.3">
      <c r="A97" s="37" t="str">
        <f>IF($B$97="","N","Y")</f>
        <v>N</v>
      </c>
      <c r="B97" s="137" t="str">
        <f>Emissions!G44</f>
        <v/>
      </c>
      <c r="C97" s="117" t="s">
        <v>91</v>
      </c>
      <c r="D97" s="113"/>
      <c r="E97" s="114"/>
      <c r="F97" s="114"/>
      <c r="G97" s="114"/>
      <c r="H97" s="114"/>
      <c r="I97" s="114"/>
      <c r="J97" s="114"/>
      <c r="K97" s="114"/>
      <c r="L97" s="114"/>
      <c r="M97" s="114"/>
      <c r="N97" s="114"/>
      <c r="O97" s="115"/>
      <c r="P97" s="127">
        <f>SUM(D97:O97)</f>
        <v>0</v>
      </c>
    </row>
  </sheetData>
  <sheetProtection algorithmName="SHA-512" hashValue="h32z+Or7GsbJNGVWJkEVo1uUoPHoiJY2pYHJFPvGA1LCINxAxnlcwPM8dO62goxK78U37JZU0Ud0fDSIlsZtbw==" saltValue="oE17mh0+otOhmq/YD0BhBA==" spinCount="100000" sheet="1" objects="1" scenarios="1"/>
  <mergeCells count="2">
    <mergeCell ref="E8:O8"/>
    <mergeCell ref="D3:O3"/>
  </mergeCells>
  <conditionalFormatting sqref="B9 B12 B15 B18 B21 B24 B27 B30 B33 B36 B39 B42 B45 B48 B51 B54 B57 B60 B63 B66 B69 B72 B75 B78 B81 B84 B87 B90 B93 B96">
    <cfRule type="expression" dxfId="6" priority="113">
      <formula>$B10="Tier 0"</formula>
    </cfRule>
    <cfRule type="expression" dxfId="5" priority="114">
      <formula>$B10="Tier 1"</formula>
    </cfRule>
    <cfRule type="expression" dxfId="4" priority="115">
      <formula>$B10="Tier 2"</formula>
    </cfRule>
    <cfRule type="expression" dxfId="3" priority="116">
      <formula>$B10="Tier 3"</formula>
    </cfRule>
    <cfRule type="expression" dxfId="2" priority="117">
      <formula>$B10="Tier 4"</formula>
    </cfRule>
  </conditionalFormatting>
  <conditionalFormatting sqref="D9:O10 D12:O13 D15:O16 D18:O19 D21:O22 D24:O25 D27:O28 D30:O31 D33:O34 D36:O37 D39:O40 D42:O43 D45:O46 D48:O49 D51:O52 D54:O55 D57:O58 D60:O61 D63:O64 D66:O67 D69:O70 D72:O73 D75:O76 D78:O79 D81:O82 D84:O85 D87:O88 D90:O91 D93:O94 D96:O97">
    <cfRule type="expression" dxfId="1" priority="1">
      <formula>$A9="N"</formula>
    </cfRule>
    <cfRule type="cellIs" dxfId="0" priority="92" operator="equal">
      <formula>""</formula>
    </cfRule>
  </conditionalFormatting>
  <dataValidations count="1">
    <dataValidation allowBlank="1" showInputMessage="1" showErrorMessage="1" prompt="Engine and Tier data will automatically populate when filled in the &quot;Emissions&quot; spreadsheet." sqref="B9" xr:uid="{9CCC501A-327E-441D-B386-724A1ED92DDB}"/>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44575-4CC9-4C83-85BC-D9F557578D05}">
  <sheetPr>
    <tabColor rgb="FFDFC9ED"/>
    <pageSetUpPr autoPageBreaks="0"/>
  </sheetPr>
  <dimension ref="B1:Y90"/>
  <sheetViews>
    <sheetView workbookViewId="0">
      <selection activeCell="G23" sqref="G23"/>
    </sheetView>
  </sheetViews>
  <sheetFormatPr defaultRowHeight="15" x14ac:dyDescent="0.25"/>
  <cols>
    <col min="3" max="3" width="13.28515625" customWidth="1"/>
    <col min="4" max="4" width="13.85546875" customWidth="1"/>
    <col min="5" max="5" width="11.42578125" customWidth="1"/>
    <col min="6" max="6" width="11.28515625" customWidth="1"/>
    <col min="7" max="7" width="10" customWidth="1"/>
    <col min="12" max="12" width="9.140625" customWidth="1"/>
    <col min="16" max="16" width="9.85546875" customWidth="1"/>
    <col min="17" max="17" width="10.140625" customWidth="1"/>
    <col min="18" max="18" width="12.140625" customWidth="1"/>
    <col min="19" max="19" width="10.28515625" customWidth="1"/>
    <col min="20" max="20" width="10.42578125" customWidth="1"/>
    <col min="21" max="21" width="12.5703125" customWidth="1"/>
    <col min="22" max="22" width="9.7109375" customWidth="1"/>
    <col min="24" max="24" width="8.85546875" customWidth="1"/>
    <col min="25" max="25" width="9.5703125" customWidth="1"/>
    <col min="26" max="26" width="11.28515625" customWidth="1"/>
    <col min="27" max="27" width="10.42578125" customWidth="1"/>
  </cols>
  <sheetData>
    <row r="1" spans="2:23" ht="15.75" thickBot="1" x14ac:dyDescent="0.3"/>
    <row r="2" spans="2:23" ht="15" customHeight="1" x14ac:dyDescent="0.25">
      <c r="J2" s="424" t="s">
        <v>9</v>
      </c>
      <c r="K2" s="340" t="s">
        <v>10</v>
      </c>
      <c r="L2" s="347"/>
      <c r="N2" s="19"/>
    </row>
    <row r="3" spans="2:23" ht="15" customHeight="1" thickBot="1" x14ac:dyDescent="0.3">
      <c r="J3" s="425"/>
      <c r="K3" s="342"/>
      <c r="L3" s="349"/>
      <c r="N3" s="418" t="s">
        <v>82</v>
      </c>
      <c r="O3" s="420"/>
      <c r="P3" s="420"/>
      <c r="Q3" s="420"/>
      <c r="R3" s="419"/>
    </row>
    <row r="4" spans="2:23" ht="15.75" thickBot="1" x14ac:dyDescent="0.3">
      <c r="C4" s="407" t="s">
        <v>16</v>
      </c>
      <c r="D4" s="407" t="s">
        <v>130</v>
      </c>
      <c r="E4" s="407" t="s">
        <v>15</v>
      </c>
      <c r="F4" s="407" t="s">
        <v>131</v>
      </c>
      <c r="G4" s="407" t="s">
        <v>65</v>
      </c>
      <c r="H4" s="407" t="s">
        <v>64</v>
      </c>
      <c r="J4" s="425"/>
      <c r="K4" s="344"/>
      <c r="L4" s="351"/>
      <c r="N4" s="409" t="s">
        <v>30</v>
      </c>
      <c r="O4" s="410"/>
      <c r="P4" s="410"/>
      <c r="Q4" s="411"/>
      <c r="R4" s="167" t="s">
        <v>29</v>
      </c>
    </row>
    <row r="5" spans="2:23" ht="17.25" customHeight="1" thickBot="1" x14ac:dyDescent="0.3">
      <c r="C5" s="408"/>
      <c r="D5" s="408"/>
      <c r="E5" s="408"/>
      <c r="F5" s="408"/>
      <c r="G5" s="408"/>
      <c r="H5" s="408"/>
      <c r="J5" s="425"/>
      <c r="K5" s="204" t="s">
        <v>31</v>
      </c>
      <c r="L5" s="204" t="s">
        <v>12</v>
      </c>
      <c r="N5" s="412" t="s">
        <v>33</v>
      </c>
      <c r="O5" s="413"/>
      <c r="P5" s="413"/>
      <c r="Q5" s="414"/>
      <c r="R5" s="168" t="s">
        <v>32</v>
      </c>
      <c r="T5" s="22"/>
    </row>
    <row r="6" spans="2:23" ht="15" customHeight="1" thickBot="1" x14ac:dyDescent="0.3">
      <c r="B6" s="40" t="s">
        <v>39</v>
      </c>
      <c r="C6" s="59" t="e" cm="1" vm="1">
        <f t="array" ref="C6">_xlfn._xlws.FILTER(Emissions!E15:J29,((Emissions!G15:G29="Tier 0")))</f>
        <v>#VALUE!</v>
      </c>
      <c r="D6" s="51"/>
      <c r="E6" s="264"/>
      <c r="F6" s="51"/>
      <c r="G6" s="51"/>
      <c r="H6" s="52"/>
      <c r="J6" s="84" t="s">
        <v>18</v>
      </c>
      <c r="K6" s="277">
        <f>SUMIF(C16:C21, "&gt;0")</f>
        <v>0</v>
      </c>
      <c r="L6" s="278">
        <f>SUMIF(D16:D21, "&gt;0")</f>
        <v>0</v>
      </c>
      <c r="N6" s="415" t="s">
        <v>121</v>
      </c>
      <c r="O6" s="416"/>
      <c r="P6" s="416"/>
      <c r="Q6" s="417"/>
      <c r="R6" s="166" t="s">
        <v>29</v>
      </c>
      <c r="T6" s="22"/>
    </row>
    <row r="7" spans="2:23" ht="17.25" customHeight="1" thickBot="1" x14ac:dyDescent="0.3">
      <c r="B7" s="40" t="s">
        <v>40</v>
      </c>
      <c r="C7" s="60"/>
      <c r="D7" s="53"/>
      <c r="E7" s="265"/>
      <c r="F7" s="53"/>
      <c r="G7" s="53"/>
      <c r="H7" s="54"/>
      <c r="J7" s="85" t="s">
        <v>19</v>
      </c>
      <c r="K7" s="279">
        <f>SUMIF(E16:E21, "&gt;0")</f>
        <v>0</v>
      </c>
      <c r="L7" s="280">
        <f>SUMIF(F16:F21, "&gt;0")</f>
        <v>0</v>
      </c>
      <c r="N7" s="22"/>
      <c r="T7" s="22"/>
    </row>
    <row r="8" spans="2:23" ht="18" customHeight="1" thickBot="1" x14ac:dyDescent="0.3">
      <c r="B8" s="40" t="s">
        <v>41</v>
      </c>
      <c r="C8" s="60"/>
      <c r="D8" s="53"/>
      <c r="E8" s="265"/>
      <c r="F8" s="53"/>
      <c r="G8" s="53"/>
      <c r="H8" s="54"/>
      <c r="J8" s="85" t="s">
        <v>26</v>
      </c>
      <c r="K8" s="279">
        <f>SUMIF(G16:G21, "&gt;0")</f>
        <v>0</v>
      </c>
      <c r="L8" s="280">
        <f>SUMIF(H16:H21, "&gt;0")</f>
        <v>0</v>
      </c>
      <c r="N8" s="418" t="s">
        <v>44</v>
      </c>
      <c r="O8" s="419"/>
      <c r="T8" s="22"/>
    </row>
    <row r="9" spans="2:23" ht="17.25" customHeight="1" thickBot="1" x14ac:dyDescent="0.3">
      <c r="B9" s="40" t="s">
        <v>112</v>
      </c>
      <c r="C9" s="266"/>
      <c r="D9" s="267"/>
      <c r="E9" s="275"/>
      <c r="F9" s="267"/>
      <c r="G9" s="267"/>
      <c r="H9" s="268"/>
      <c r="J9" s="85" t="s">
        <v>20</v>
      </c>
      <c r="K9" s="279">
        <f>SUMIF(I16:I21, "&gt;0")</f>
        <v>0</v>
      </c>
      <c r="L9" s="280">
        <f>SUMIF(J16:J21, "&gt;0")</f>
        <v>0</v>
      </c>
      <c r="N9" s="44">
        <v>2000</v>
      </c>
      <c r="O9" s="167" t="s">
        <v>27</v>
      </c>
      <c r="R9" s="272" t="s">
        <v>79</v>
      </c>
      <c r="S9" s="273" t="s">
        <v>71</v>
      </c>
      <c r="T9" s="274" t="s">
        <v>11</v>
      </c>
    </row>
    <row r="10" spans="2:23" ht="18" customHeight="1" thickBot="1" x14ac:dyDescent="0.3">
      <c r="B10" s="40" t="s">
        <v>113</v>
      </c>
      <c r="C10" s="266"/>
      <c r="D10" s="267"/>
      <c r="E10" s="275"/>
      <c r="F10" s="267"/>
      <c r="G10" s="267"/>
      <c r="H10" s="268"/>
      <c r="J10" s="85" t="s">
        <v>21</v>
      </c>
      <c r="K10" s="279">
        <f>SUMIF(K16:K21, "&gt;0")</f>
        <v>0</v>
      </c>
      <c r="L10" s="280">
        <f>SUMIF(L16:L21, "&gt;0")</f>
        <v>0</v>
      </c>
      <c r="N10" s="44">
        <v>453.59199999999998</v>
      </c>
      <c r="O10" s="168" t="s">
        <v>28</v>
      </c>
      <c r="R10" s="7" t="s">
        <v>72</v>
      </c>
      <c r="S10" s="10">
        <v>9.3300000000000002E-4</v>
      </c>
      <c r="T10" s="8"/>
    </row>
    <row r="11" spans="2:23" ht="15.75" thickBot="1" x14ac:dyDescent="0.3">
      <c r="B11" s="40" t="s">
        <v>114</v>
      </c>
      <c r="C11" s="269"/>
      <c r="D11" s="270"/>
      <c r="E11" s="276"/>
      <c r="F11" s="270"/>
      <c r="G11" s="270"/>
      <c r="H11" s="271"/>
      <c r="J11" s="85" t="s">
        <v>22</v>
      </c>
      <c r="K11" s="279">
        <f>SUMIF(M16:M21, "&gt;0")</f>
        <v>0</v>
      </c>
      <c r="L11" s="280">
        <f>SUMIF(N16:N21, "&gt;0")</f>
        <v>0</v>
      </c>
      <c r="N11" s="45">
        <v>139000</v>
      </c>
      <c r="O11" s="166" t="s">
        <v>81</v>
      </c>
      <c r="R11" s="7" t="s">
        <v>73</v>
      </c>
      <c r="S11" s="10">
        <v>4.0900000000000002E-4</v>
      </c>
      <c r="T11" s="9"/>
      <c r="W11" s="11"/>
    </row>
    <row r="12" spans="2:23" ht="15.75" thickBot="1" x14ac:dyDescent="0.3">
      <c r="J12" s="87" t="s">
        <v>23</v>
      </c>
      <c r="K12" s="281">
        <f>SUMIF(O16:O21, "&gt;0")</f>
        <v>0</v>
      </c>
      <c r="L12" s="282">
        <f>SUMIF(P16:P21, "&gt;0")</f>
        <v>0</v>
      </c>
      <c r="N12" s="11"/>
      <c r="O12" s="6"/>
      <c r="P12" s="10"/>
      <c r="Q12" s="10"/>
      <c r="R12" s="7" t="s">
        <v>74</v>
      </c>
      <c r="S12" s="10">
        <v>2.8499999999999999E-4</v>
      </c>
      <c r="T12" s="9"/>
    </row>
    <row r="13" spans="2:23" x14ac:dyDescent="0.25">
      <c r="M13" s="6"/>
      <c r="R13" s="7" t="s">
        <v>75</v>
      </c>
      <c r="S13" s="10">
        <v>3.9100000000000002E-5</v>
      </c>
      <c r="T13" s="9"/>
    </row>
    <row r="14" spans="2:23" x14ac:dyDescent="0.25">
      <c r="C14" s="418" t="s">
        <v>24</v>
      </c>
      <c r="D14" s="419"/>
      <c r="E14" s="418" t="s">
        <v>25</v>
      </c>
      <c r="F14" s="419"/>
      <c r="G14" s="418" t="s">
        <v>26</v>
      </c>
      <c r="H14" s="419"/>
      <c r="I14" s="418" t="s">
        <v>20</v>
      </c>
      <c r="J14" s="419"/>
      <c r="K14" s="418" t="s">
        <v>21</v>
      </c>
      <c r="L14" s="419"/>
      <c r="M14" s="418" t="s">
        <v>22</v>
      </c>
      <c r="N14" s="419"/>
      <c r="O14" s="420" t="s">
        <v>23</v>
      </c>
      <c r="P14" s="419"/>
      <c r="R14" s="7" t="s">
        <v>76</v>
      </c>
      <c r="S14" s="10">
        <v>1.1800000000000001E-3</v>
      </c>
      <c r="T14" s="9"/>
    </row>
    <row r="15" spans="2:23" x14ac:dyDescent="0.25">
      <c r="B15" s="6"/>
      <c r="C15" s="147" t="s">
        <v>29</v>
      </c>
      <c r="D15" s="144" t="s">
        <v>32</v>
      </c>
      <c r="E15" s="147" t="s">
        <v>29</v>
      </c>
      <c r="F15" s="29" t="s">
        <v>32</v>
      </c>
      <c r="G15" s="28" t="s">
        <v>29</v>
      </c>
      <c r="H15" s="29" t="s">
        <v>32</v>
      </c>
      <c r="I15" s="28" t="s">
        <v>29</v>
      </c>
      <c r="J15" s="29" t="s">
        <v>32</v>
      </c>
      <c r="K15" s="28" t="s">
        <v>29</v>
      </c>
      <c r="L15" s="29" t="s">
        <v>32</v>
      </c>
      <c r="M15" s="28" t="s">
        <v>29</v>
      </c>
      <c r="N15" s="29" t="s">
        <v>32</v>
      </c>
      <c r="O15" s="145" t="s">
        <v>29</v>
      </c>
      <c r="P15" s="29" t="s">
        <v>32</v>
      </c>
      <c r="R15" s="7" t="s">
        <v>77</v>
      </c>
      <c r="S15" s="10">
        <v>7.67E-4</v>
      </c>
      <c r="T15" s="9"/>
    </row>
    <row r="16" spans="2:23" ht="18" customHeight="1" x14ac:dyDescent="0.25">
      <c r="B16" s="151" t="s">
        <v>38</v>
      </c>
      <c r="C16" s="89">
        <f>IF(D6&lt;=600,($C$26*D6)/$N$10,($E$26*D6)/$N$10)</f>
        <v>0</v>
      </c>
      <c r="D16" s="181">
        <f>(C16*G6)/$N$9</f>
        <v>0</v>
      </c>
      <c r="E16" s="89">
        <f>C16</f>
        <v>0</v>
      </c>
      <c r="F16" s="217">
        <f>D16</f>
        <v>0</v>
      </c>
      <c r="G16" s="89" t="e">
        <f t="shared" ref="G16:G21" si="0">(F6/G6)*$D$28</f>
        <v>#DIV/0!</v>
      </c>
      <c r="H16" s="217" t="e">
        <f t="shared" ref="H16:H21" si="1">(G16*G6)/$N$9</f>
        <v>#DIV/0!</v>
      </c>
      <c r="I16" s="89">
        <f t="shared" ref="I16:I21" si="2">IF($D6&lt;=600,($C$29*$D6)/$N$10,($E$29*$D6)/$N$10)</f>
        <v>0</v>
      </c>
      <c r="J16" s="181">
        <f t="shared" ref="J16:J21" si="3">(I16*$G6)/$N$9</f>
        <v>0</v>
      </c>
      <c r="K16" s="89">
        <f>IF($D6&lt;=600,($C$30*$D6)/$N$10,($E$30*$D6)/$N$10)</f>
        <v>0</v>
      </c>
      <c r="L16" s="181">
        <f>(K16*$G6)/$N$9</f>
        <v>0</v>
      </c>
      <c r="M16" s="89">
        <f>IF($D6&lt;=600,($C$31*$D6)/$N$10,($E$31*$D6)/$N$10)</f>
        <v>0</v>
      </c>
      <c r="N16" s="181">
        <f t="shared" ref="N16:N21" si="4">(M16*$G6)/$N$9</f>
        <v>0</v>
      </c>
      <c r="O16" s="10" t="e">
        <f t="shared" ref="O16:O21" si="5">IF(D6&lt;=600,($F6/$G6)*$D$32,($F6/$G6)*$F$32)</f>
        <v>#DIV/0!</v>
      </c>
      <c r="P16" s="9" t="e">
        <f t="shared" ref="P16:P21" si="6">(O16*G6)/$N$9</f>
        <v>#DIV/0!</v>
      </c>
      <c r="Q16" s="26"/>
      <c r="R16" s="7" t="s">
        <v>78</v>
      </c>
      <c r="S16" s="10">
        <v>9.2499999999999999E-5</v>
      </c>
      <c r="T16" s="9"/>
    </row>
    <row r="17" spans="2:25" x14ac:dyDescent="0.25">
      <c r="B17" s="151" t="s">
        <v>42</v>
      </c>
      <c r="C17" s="90">
        <f t="shared" ref="C17:C21" si="7">IF(D7&lt;=600,($C$26*D7)/$N$10,($E$26*D7)/$N$10)</f>
        <v>0</v>
      </c>
      <c r="D17" s="182">
        <f>(C17*G7)/$N$9</f>
        <v>0</v>
      </c>
      <c r="E17" s="90">
        <f t="shared" ref="E17:F21" si="8">C17</f>
        <v>0</v>
      </c>
      <c r="F17" s="162">
        <f t="shared" si="8"/>
        <v>0</v>
      </c>
      <c r="G17" s="90" t="e">
        <f t="shared" si="0"/>
        <v>#DIV/0!</v>
      </c>
      <c r="H17" s="162" t="e">
        <f t="shared" si="1"/>
        <v>#DIV/0!</v>
      </c>
      <c r="I17" s="90">
        <f t="shared" si="2"/>
        <v>0</v>
      </c>
      <c r="J17" s="182">
        <f t="shared" si="3"/>
        <v>0</v>
      </c>
      <c r="K17" s="90">
        <f t="shared" ref="K17:K21" si="9">IF($D7&lt;=600,($C$30*$D7)/$N$10,($E$30*$D7)/$N$10)</f>
        <v>0</v>
      </c>
      <c r="L17" s="182">
        <f t="shared" ref="L17:L21" si="10">(K17*$G7)/$N$9</f>
        <v>0</v>
      </c>
      <c r="M17" s="90">
        <f t="shared" ref="M17:M21" si="11">IF($D7&lt;=600,($C$31*$D7)/$N$10,($E$31*$D7)/$N$10)</f>
        <v>0</v>
      </c>
      <c r="N17" s="182">
        <f t="shared" si="4"/>
        <v>0</v>
      </c>
      <c r="O17" s="10" t="e">
        <f t="shared" si="5"/>
        <v>#DIV/0!</v>
      </c>
      <c r="P17" s="9" t="e">
        <f t="shared" si="6"/>
        <v>#DIV/0!</v>
      </c>
      <c r="R17" s="7" t="s">
        <v>84</v>
      </c>
      <c r="S17" s="10">
        <v>1.6799999999999999E-4</v>
      </c>
      <c r="T17" s="8"/>
    </row>
    <row r="18" spans="2:25" x14ac:dyDescent="0.25">
      <c r="B18" s="151" t="s">
        <v>43</v>
      </c>
      <c r="C18" s="90">
        <f t="shared" si="7"/>
        <v>0</v>
      </c>
      <c r="D18" s="182">
        <f>(C18*G8)/$N$9</f>
        <v>0</v>
      </c>
      <c r="E18" s="90">
        <f t="shared" si="8"/>
        <v>0</v>
      </c>
      <c r="F18" s="162">
        <f t="shared" si="8"/>
        <v>0</v>
      </c>
      <c r="G18" s="169" t="e">
        <f t="shared" si="0"/>
        <v>#DIV/0!</v>
      </c>
      <c r="H18" s="162" t="e">
        <f t="shared" si="1"/>
        <v>#DIV/0!</v>
      </c>
      <c r="I18" s="90">
        <f t="shared" si="2"/>
        <v>0</v>
      </c>
      <c r="J18" s="182">
        <f t="shared" si="3"/>
        <v>0</v>
      </c>
      <c r="K18" s="90">
        <f t="shared" si="9"/>
        <v>0</v>
      </c>
      <c r="L18" s="182">
        <f t="shared" si="10"/>
        <v>0</v>
      </c>
      <c r="M18" s="90">
        <f t="shared" si="11"/>
        <v>0</v>
      </c>
      <c r="N18" s="182">
        <f t="shared" si="4"/>
        <v>0</v>
      </c>
      <c r="O18" s="10" t="e">
        <f t="shared" si="5"/>
        <v>#DIV/0!</v>
      </c>
      <c r="P18" s="8" t="e">
        <f t="shared" si="6"/>
        <v>#DIV/0!</v>
      </c>
      <c r="R18" s="7"/>
      <c r="S18" s="72">
        <f>SUM(S10:S17)</f>
        <v>3.8736E-3</v>
      </c>
      <c r="T18" s="73">
        <f>((S18/1000000)*N11)</f>
        <v>5.3843040000000003E-4</v>
      </c>
    </row>
    <row r="19" spans="2:25" x14ac:dyDescent="0.25">
      <c r="B19" s="151" t="s">
        <v>109</v>
      </c>
      <c r="C19" s="90">
        <f t="shared" si="7"/>
        <v>0</v>
      </c>
      <c r="D19" s="182">
        <f t="shared" ref="D19:D21" si="12">(C19*G9)/$N$9</f>
        <v>0</v>
      </c>
      <c r="E19" s="90">
        <f t="shared" si="8"/>
        <v>0</v>
      </c>
      <c r="F19" s="162">
        <f t="shared" si="8"/>
        <v>0</v>
      </c>
      <c r="G19" s="169" t="e">
        <f t="shared" si="0"/>
        <v>#DIV/0!</v>
      </c>
      <c r="H19" s="162" t="e">
        <f t="shared" si="1"/>
        <v>#DIV/0!</v>
      </c>
      <c r="I19" s="90">
        <f t="shared" si="2"/>
        <v>0</v>
      </c>
      <c r="J19" s="182">
        <f t="shared" si="3"/>
        <v>0</v>
      </c>
      <c r="K19" s="90">
        <f t="shared" si="9"/>
        <v>0</v>
      </c>
      <c r="L19" s="182">
        <f t="shared" si="10"/>
        <v>0</v>
      </c>
      <c r="M19" s="90">
        <f t="shared" si="11"/>
        <v>0</v>
      </c>
      <c r="N19" s="182">
        <f t="shared" si="4"/>
        <v>0</v>
      </c>
      <c r="O19" s="10" t="e">
        <f t="shared" si="5"/>
        <v>#DIV/0!</v>
      </c>
      <c r="P19" s="8" t="e">
        <f t="shared" si="6"/>
        <v>#DIV/0!</v>
      </c>
      <c r="R19" s="272" t="s">
        <v>80</v>
      </c>
      <c r="S19" s="273" t="s">
        <v>71</v>
      </c>
      <c r="T19" s="274" t="s">
        <v>11</v>
      </c>
    </row>
    <row r="20" spans="2:25" x14ac:dyDescent="0.25">
      <c r="B20" s="151" t="s">
        <v>110</v>
      </c>
      <c r="C20" s="90">
        <f t="shared" si="7"/>
        <v>0</v>
      </c>
      <c r="D20" s="182">
        <f t="shared" si="12"/>
        <v>0</v>
      </c>
      <c r="E20" s="90">
        <f t="shared" si="8"/>
        <v>0</v>
      </c>
      <c r="F20" s="162">
        <f t="shared" si="8"/>
        <v>0</v>
      </c>
      <c r="G20" s="169" t="e">
        <f t="shared" si="0"/>
        <v>#DIV/0!</v>
      </c>
      <c r="H20" s="162" t="e">
        <f t="shared" si="1"/>
        <v>#DIV/0!</v>
      </c>
      <c r="I20" s="90">
        <f t="shared" si="2"/>
        <v>0</v>
      </c>
      <c r="J20" s="182">
        <f t="shared" si="3"/>
        <v>0</v>
      </c>
      <c r="K20" s="90">
        <f t="shared" si="9"/>
        <v>0</v>
      </c>
      <c r="L20" s="182">
        <f t="shared" si="10"/>
        <v>0</v>
      </c>
      <c r="M20" s="90">
        <f t="shared" si="11"/>
        <v>0</v>
      </c>
      <c r="N20" s="182">
        <f t="shared" si="4"/>
        <v>0</v>
      </c>
      <c r="O20" s="10" t="e">
        <f t="shared" si="5"/>
        <v>#DIV/0!</v>
      </c>
      <c r="P20" s="8" t="e">
        <f t="shared" si="6"/>
        <v>#DIV/0!</v>
      </c>
      <c r="R20" s="7" t="s">
        <v>72</v>
      </c>
      <c r="S20" s="10">
        <v>7.76E-4</v>
      </c>
      <c r="T20" s="8"/>
    </row>
    <row r="21" spans="2:25" x14ac:dyDescent="0.25">
      <c r="B21" s="151" t="s">
        <v>111</v>
      </c>
      <c r="C21" s="156">
        <f t="shared" si="7"/>
        <v>0</v>
      </c>
      <c r="D21" s="194">
        <f t="shared" si="12"/>
        <v>0</v>
      </c>
      <c r="E21" s="156">
        <f t="shared" si="8"/>
        <v>0</v>
      </c>
      <c r="F21" s="157">
        <f t="shared" si="8"/>
        <v>0</v>
      </c>
      <c r="G21" s="233" t="e">
        <f t="shared" si="0"/>
        <v>#DIV/0!</v>
      </c>
      <c r="H21" s="157" t="e">
        <f t="shared" si="1"/>
        <v>#DIV/0!</v>
      </c>
      <c r="I21" s="156">
        <f t="shared" si="2"/>
        <v>0</v>
      </c>
      <c r="J21" s="194">
        <f t="shared" si="3"/>
        <v>0</v>
      </c>
      <c r="K21" s="156">
        <f t="shared" si="9"/>
        <v>0</v>
      </c>
      <c r="L21" s="194">
        <f t="shared" si="10"/>
        <v>0</v>
      </c>
      <c r="M21" s="156">
        <f t="shared" si="11"/>
        <v>0</v>
      </c>
      <c r="N21" s="194">
        <f t="shared" si="4"/>
        <v>0</v>
      </c>
      <c r="O21" s="16" t="e">
        <f t="shared" si="5"/>
        <v>#DIV/0!</v>
      </c>
      <c r="P21" s="46" t="e">
        <f t="shared" si="6"/>
        <v>#DIV/0!</v>
      </c>
      <c r="R21" s="7" t="s">
        <v>73</v>
      </c>
      <c r="S21" s="10">
        <v>2.81E-4</v>
      </c>
      <c r="T21" s="9"/>
    </row>
    <row r="22" spans="2:25" x14ac:dyDescent="0.25">
      <c r="B22" s="6"/>
      <c r="C22" s="11"/>
      <c r="D22" s="11"/>
      <c r="E22" s="6"/>
      <c r="F22" s="6"/>
      <c r="G22" s="6"/>
      <c r="H22" s="6"/>
      <c r="I22" s="6"/>
      <c r="J22" s="6"/>
      <c r="K22" s="6"/>
      <c r="L22" s="6"/>
      <c r="M22" s="6"/>
      <c r="O22" s="11"/>
      <c r="P22" s="1"/>
      <c r="Q22" s="20"/>
      <c r="R22" s="7" t="s">
        <v>74</v>
      </c>
      <c r="S22" s="10">
        <v>1.93E-4</v>
      </c>
      <c r="T22" s="9"/>
    </row>
    <row r="23" spans="2:25" x14ac:dyDescent="0.25">
      <c r="B23" s="19"/>
      <c r="C23" s="418" t="s">
        <v>85</v>
      </c>
      <c r="D23" s="420"/>
      <c r="E23" s="420"/>
      <c r="F23" s="419"/>
      <c r="G23" s="88"/>
      <c r="H23" s="41"/>
      <c r="I23" s="88"/>
      <c r="J23" s="41"/>
      <c r="K23" s="88"/>
      <c r="L23" s="41"/>
      <c r="M23" s="10"/>
      <c r="N23" s="10"/>
      <c r="P23" s="1"/>
      <c r="R23" s="7" t="s">
        <v>76</v>
      </c>
      <c r="S23" s="10">
        <v>7.8899999999999993E-5</v>
      </c>
      <c r="T23" s="8"/>
    </row>
    <row r="24" spans="2:25" x14ac:dyDescent="0.25">
      <c r="B24" s="6"/>
      <c r="C24" s="429" t="s">
        <v>178</v>
      </c>
      <c r="D24" s="430"/>
      <c r="E24" s="429" t="s">
        <v>179</v>
      </c>
      <c r="F24" s="430"/>
      <c r="G24" s="88"/>
      <c r="H24" s="421" t="s">
        <v>70</v>
      </c>
      <c r="I24" s="422"/>
      <c r="J24" s="422"/>
      <c r="K24" s="422"/>
      <c r="L24" s="422"/>
      <c r="M24" s="422"/>
      <c r="N24" s="422"/>
      <c r="O24" s="422"/>
      <c r="P24" s="423"/>
      <c r="R24" s="7" t="s">
        <v>77</v>
      </c>
      <c r="S24" s="10">
        <v>2.5199999999999999E-5</v>
      </c>
      <c r="T24" s="9"/>
    </row>
    <row r="25" spans="2:25" x14ac:dyDescent="0.25">
      <c r="C25" s="28" t="s">
        <v>17</v>
      </c>
      <c r="D25" s="29" t="s">
        <v>11</v>
      </c>
      <c r="E25" s="28" t="s">
        <v>17</v>
      </c>
      <c r="F25" s="29" t="s">
        <v>11</v>
      </c>
      <c r="H25" s="401" t="s">
        <v>181</v>
      </c>
      <c r="I25" s="402"/>
      <c r="J25" s="402"/>
      <c r="K25" s="402"/>
      <c r="L25" s="402"/>
      <c r="M25" s="402"/>
      <c r="N25" s="402"/>
      <c r="O25" s="402"/>
      <c r="P25" s="403"/>
      <c r="R25" s="7" t="s">
        <v>78</v>
      </c>
      <c r="S25" s="10">
        <v>7.8800000000000008E-6</v>
      </c>
      <c r="T25" s="9"/>
    </row>
    <row r="26" spans="2:25" ht="18" x14ac:dyDescent="0.35">
      <c r="B26" s="6" t="s">
        <v>18</v>
      </c>
      <c r="C26" s="283">
        <f>0.0022*N10</f>
        <v>0.99790240000000008</v>
      </c>
      <c r="D26" s="35"/>
      <c r="E26" s="34">
        <f>0.0007*N10</f>
        <v>0.31751439999999997</v>
      </c>
      <c r="F26" s="8"/>
      <c r="H26" s="426" t="s">
        <v>83</v>
      </c>
      <c r="I26" s="427"/>
      <c r="J26" s="427"/>
      <c r="K26" s="427"/>
      <c r="L26" s="427"/>
      <c r="M26" s="427"/>
      <c r="N26" s="427"/>
      <c r="O26" s="427"/>
      <c r="P26" s="428"/>
      <c r="R26" s="7" t="s">
        <v>84</v>
      </c>
      <c r="S26" s="10">
        <v>2.12E-4</v>
      </c>
      <c r="T26" s="9"/>
      <c r="Y26" s="25"/>
    </row>
    <row r="27" spans="2:25" ht="18" x14ac:dyDescent="0.35">
      <c r="B27" s="6" t="s">
        <v>19</v>
      </c>
      <c r="C27" s="34">
        <f>0.0022*N10</f>
        <v>0.99790240000000008</v>
      </c>
      <c r="D27" s="8"/>
      <c r="E27" s="34">
        <f>0.0007*N10</f>
        <v>0.31751439999999997</v>
      </c>
      <c r="F27" s="8"/>
      <c r="H27" s="401" t="s">
        <v>182</v>
      </c>
      <c r="I27" s="402"/>
      <c r="J27" s="402"/>
      <c r="K27" s="402"/>
      <c r="L27" s="402"/>
      <c r="M27" s="402"/>
      <c r="N27" s="402"/>
      <c r="O27" s="402"/>
      <c r="P27" s="403"/>
      <c r="R27" s="27"/>
      <c r="S27" s="74">
        <f>SUM(S20:S26)</f>
        <v>1.57398E-3</v>
      </c>
      <c r="T27" s="75">
        <f>((S27/1000000)*N11)</f>
        <v>2.1878322E-4</v>
      </c>
    </row>
    <row r="28" spans="2:25" x14ac:dyDescent="0.25">
      <c r="B28" s="6" t="s">
        <v>26</v>
      </c>
      <c r="C28" s="13"/>
      <c r="D28" s="149">
        <f>6.943*0.000015*2</f>
        <v>2.0829E-4</v>
      </c>
      <c r="E28" s="13"/>
      <c r="F28" s="149">
        <f>6.943*0.000015*2</f>
        <v>2.0829E-4</v>
      </c>
      <c r="H28" s="404" t="s">
        <v>180</v>
      </c>
      <c r="I28" s="405"/>
      <c r="J28" s="405"/>
      <c r="K28" s="405"/>
      <c r="L28" s="405"/>
      <c r="M28" s="405"/>
      <c r="N28" s="405"/>
      <c r="O28" s="405"/>
      <c r="P28" s="406"/>
    </row>
    <row r="29" spans="2:25" x14ac:dyDescent="0.25">
      <c r="B29" s="6" t="s">
        <v>20</v>
      </c>
      <c r="C29" s="34">
        <f>0.031*N10</f>
        <v>14.061351999999999</v>
      </c>
      <c r="D29" s="8"/>
      <c r="E29" s="34">
        <f>0.024*N10</f>
        <v>10.886208</v>
      </c>
      <c r="F29" s="8"/>
      <c r="P29" s="243"/>
      <c r="Q29" s="243"/>
      <c r="R29" s="243"/>
      <c r="S29" s="243"/>
      <c r="X29" s="82"/>
    </row>
    <row r="30" spans="2:25" x14ac:dyDescent="0.25">
      <c r="B30" s="6" t="s">
        <v>21</v>
      </c>
      <c r="C30" s="34">
        <f>(0.00247+0.0000441)*$N$10</f>
        <v>1.1403756472</v>
      </c>
      <c r="D30" s="8"/>
      <c r="E30" s="34">
        <f>0.000705*N10</f>
        <v>0.31978235999999999</v>
      </c>
      <c r="F30" s="8"/>
      <c r="N30" s="243"/>
      <c r="O30" s="243"/>
      <c r="P30" s="243"/>
      <c r="Q30" s="243"/>
      <c r="R30" s="243"/>
      <c r="S30" s="243"/>
      <c r="X30" s="24"/>
    </row>
    <row r="31" spans="2:25" x14ac:dyDescent="0.25">
      <c r="B31" s="6" t="s">
        <v>22</v>
      </c>
      <c r="C31" s="34">
        <f>0.00668*$N$10</f>
        <v>3.02999456</v>
      </c>
      <c r="D31" s="8"/>
      <c r="E31" s="34">
        <f>0.0055*N10</f>
        <v>2.4947559999999998</v>
      </c>
      <c r="F31" s="8"/>
      <c r="O31" s="22"/>
      <c r="U31" s="11"/>
      <c r="V31" s="6"/>
    </row>
    <row r="32" spans="2:25" x14ac:dyDescent="0.25">
      <c r="B32" s="6" t="s">
        <v>23</v>
      </c>
      <c r="C32" s="16"/>
      <c r="D32" s="17">
        <f>T18</f>
        <v>5.3843040000000003E-4</v>
      </c>
      <c r="E32" s="16"/>
      <c r="F32" s="17">
        <v>2.1878322E-4</v>
      </c>
      <c r="O32" s="22"/>
      <c r="P32" s="6"/>
      <c r="U32" s="22"/>
      <c r="V32" s="6"/>
      <c r="W32" s="6"/>
      <c r="Y32" s="10"/>
    </row>
    <row r="33" spans="2:25" ht="15.75" customHeight="1" x14ac:dyDescent="0.25">
      <c r="O33" s="22"/>
      <c r="P33" s="6"/>
      <c r="Q33" s="26"/>
      <c r="R33" s="26"/>
      <c r="U33" s="22"/>
      <c r="V33" s="6"/>
      <c r="W33" s="6"/>
      <c r="Y33" s="23"/>
    </row>
    <row r="34" spans="2:25" ht="15.75" customHeight="1" x14ac:dyDescent="0.25">
      <c r="O34" s="22"/>
      <c r="P34" s="6"/>
      <c r="U34" s="22"/>
      <c r="V34" s="6"/>
      <c r="W34" s="6"/>
      <c r="Y34" s="24"/>
    </row>
    <row r="35" spans="2:25" ht="15.75" customHeight="1" x14ac:dyDescent="0.25">
      <c r="B35" s="5"/>
      <c r="O35" s="22"/>
      <c r="P35" s="6"/>
      <c r="U35" s="22"/>
      <c r="V35" s="6"/>
      <c r="W35" s="6"/>
      <c r="X35" s="81"/>
      <c r="Y35" s="25"/>
    </row>
    <row r="36" spans="2:25" ht="15.75" customHeight="1" x14ac:dyDescent="0.25">
      <c r="O36" s="22"/>
      <c r="P36" s="6"/>
      <c r="U36" s="22"/>
      <c r="V36" s="6"/>
      <c r="W36" s="6"/>
    </row>
    <row r="37" spans="2:25" ht="15.75" customHeight="1" x14ac:dyDescent="0.25">
      <c r="O37" s="22"/>
      <c r="P37" s="6"/>
      <c r="Q37" s="10"/>
      <c r="R37" s="10"/>
      <c r="U37" s="22"/>
      <c r="V37" s="6"/>
      <c r="W37" s="6"/>
    </row>
    <row r="38" spans="2:25" ht="15.75" customHeight="1" x14ac:dyDescent="0.25">
      <c r="D38" s="19"/>
      <c r="N38" s="6"/>
      <c r="O38" s="6"/>
      <c r="P38" s="6"/>
      <c r="Q38" s="6"/>
      <c r="U38" s="22"/>
      <c r="V38" s="6"/>
      <c r="W38" s="6"/>
      <c r="Y38" s="26"/>
    </row>
    <row r="39" spans="2:25" ht="15.75" customHeight="1" x14ac:dyDescent="0.25">
      <c r="D39" s="6"/>
      <c r="E39" s="6"/>
      <c r="F39" s="6"/>
      <c r="N39" s="6"/>
      <c r="O39" s="6"/>
      <c r="P39" s="6"/>
      <c r="Q39" s="6"/>
      <c r="U39" s="22"/>
      <c r="V39" s="6"/>
      <c r="X39" s="83"/>
    </row>
    <row r="40" spans="2:25" ht="15.75" customHeight="1" x14ac:dyDescent="0.25">
      <c r="J40" s="41"/>
      <c r="N40" s="25"/>
      <c r="O40" s="25"/>
      <c r="P40" s="25"/>
      <c r="Q40" s="25"/>
      <c r="V40" s="22"/>
      <c r="W40" s="6"/>
    </row>
    <row r="41" spans="2:25" ht="15.75" customHeight="1" x14ac:dyDescent="0.25">
      <c r="V41" s="22"/>
      <c r="W41" s="6"/>
    </row>
    <row r="42" spans="2:25" ht="15.75" customHeight="1" x14ac:dyDescent="0.25">
      <c r="V42" s="22"/>
      <c r="W42" s="6"/>
      <c r="X42" s="10"/>
      <c r="Y42" s="10"/>
    </row>
    <row r="43" spans="2:25" ht="15.75" customHeight="1" x14ac:dyDescent="0.25">
      <c r="N43" s="26"/>
      <c r="O43" s="26"/>
      <c r="P43" s="26"/>
      <c r="Q43" s="26"/>
      <c r="X43" s="23"/>
      <c r="Y43" s="23"/>
    </row>
    <row r="44" spans="2:25" ht="15.75" customHeight="1" x14ac:dyDescent="0.25">
      <c r="W44" s="6"/>
      <c r="X44" s="24"/>
      <c r="Y44" s="24"/>
    </row>
    <row r="45" spans="2:25" ht="15.75" customHeight="1" x14ac:dyDescent="0.25">
      <c r="D45" s="6"/>
      <c r="X45" s="25"/>
      <c r="Y45" s="25"/>
    </row>
    <row r="46" spans="2:25" ht="15.75" customHeight="1" x14ac:dyDescent="0.25">
      <c r="D46" s="6"/>
      <c r="V46" s="22"/>
      <c r="W46" s="6"/>
    </row>
    <row r="47" spans="2:25" ht="15.75" customHeight="1" x14ac:dyDescent="0.25">
      <c r="D47" s="6"/>
      <c r="E47" s="10"/>
      <c r="F47" s="10"/>
      <c r="N47" s="10"/>
      <c r="O47" s="10"/>
      <c r="P47" s="10"/>
      <c r="Q47" s="10"/>
      <c r="V47" s="22"/>
      <c r="W47" s="6"/>
    </row>
    <row r="48" spans="2:25" ht="15.75" customHeight="1" x14ac:dyDescent="0.25">
      <c r="V48" s="22"/>
      <c r="W48" s="6"/>
      <c r="X48" s="26"/>
      <c r="Y48" s="26"/>
    </row>
    <row r="49" spans="22:25" ht="15.75" customHeight="1" x14ac:dyDescent="0.25">
      <c r="V49" s="22"/>
      <c r="W49" s="6"/>
    </row>
    <row r="50" spans="22:25" ht="15.75" customHeight="1" x14ac:dyDescent="0.25">
      <c r="V50" s="22"/>
      <c r="W50" s="6"/>
    </row>
    <row r="51" spans="22:25" ht="15.75" customHeight="1" x14ac:dyDescent="0.25">
      <c r="V51" s="22"/>
      <c r="W51" s="6"/>
    </row>
    <row r="52" spans="22:25" x14ac:dyDescent="0.25">
      <c r="V52" s="22"/>
      <c r="W52" s="6"/>
      <c r="X52" s="10"/>
      <c r="Y52" s="10"/>
    </row>
    <row r="53" spans="22:25" x14ac:dyDescent="0.25">
      <c r="X53" s="23"/>
      <c r="Y53" s="23"/>
    </row>
    <row r="54" spans="22:25" x14ac:dyDescent="0.25">
      <c r="W54" s="6"/>
      <c r="X54" s="24"/>
      <c r="Y54" s="24"/>
    </row>
    <row r="55" spans="22:25" x14ac:dyDescent="0.25">
      <c r="X55" s="25"/>
      <c r="Y55" s="25"/>
    </row>
    <row r="56" spans="22:25" ht="16.5" customHeight="1" x14ac:dyDescent="0.25">
      <c r="V56" s="22"/>
      <c r="W56" s="6"/>
    </row>
    <row r="57" spans="22:25" x14ac:dyDescent="0.25">
      <c r="V57" s="22"/>
      <c r="W57" s="6"/>
    </row>
    <row r="58" spans="22:25" x14ac:dyDescent="0.25">
      <c r="V58" s="22"/>
      <c r="W58" s="6"/>
      <c r="X58" s="26"/>
      <c r="Y58" s="26"/>
    </row>
    <row r="59" spans="22:25" x14ac:dyDescent="0.25">
      <c r="V59" s="22"/>
      <c r="W59" s="6"/>
    </row>
    <row r="60" spans="22:25" x14ac:dyDescent="0.25">
      <c r="V60" s="22"/>
      <c r="W60" s="6"/>
    </row>
    <row r="61" spans="22:25" x14ac:dyDescent="0.25">
      <c r="V61" s="22"/>
      <c r="W61" s="6"/>
    </row>
    <row r="62" spans="22:25" x14ac:dyDescent="0.25">
      <c r="V62" s="22"/>
      <c r="W62" s="6"/>
      <c r="X62" s="10"/>
      <c r="Y62" s="10"/>
    </row>
    <row r="63" spans="22:25" x14ac:dyDescent="0.25">
      <c r="X63" s="23"/>
      <c r="Y63" s="23"/>
    </row>
    <row r="64" spans="22:25" x14ac:dyDescent="0.25">
      <c r="W64" s="6"/>
      <c r="X64" s="24"/>
      <c r="Y64" s="24"/>
    </row>
    <row r="65" spans="22:25" x14ac:dyDescent="0.25">
      <c r="X65" s="25"/>
      <c r="Y65" s="25"/>
    </row>
    <row r="66" spans="22:25" ht="80.25" customHeight="1" x14ac:dyDescent="0.25">
      <c r="V66" s="22"/>
      <c r="W66" s="6"/>
    </row>
    <row r="67" spans="22:25" x14ac:dyDescent="0.25">
      <c r="V67" s="22"/>
      <c r="W67" s="6"/>
    </row>
    <row r="68" spans="22:25" x14ac:dyDescent="0.25">
      <c r="V68" s="22"/>
      <c r="W68" s="6"/>
      <c r="X68" s="26"/>
      <c r="Y68" s="26"/>
    </row>
    <row r="69" spans="22:25" x14ac:dyDescent="0.25">
      <c r="V69" s="22"/>
      <c r="W69" s="6"/>
    </row>
    <row r="70" spans="22:25" x14ac:dyDescent="0.25">
      <c r="V70" s="22"/>
      <c r="W70" s="6"/>
    </row>
    <row r="71" spans="22:25" x14ac:dyDescent="0.25">
      <c r="V71" s="22"/>
      <c r="W71" s="6"/>
    </row>
    <row r="72" spans="22:25" x14ac:dyDescent="0.25">
      <c r="V72" s="22"/>
      <c r="W72" s="6"/>
      <c r="X72" s="10"/>
      <c r="Y72" s="10"/>
    </row>
    <row r="73" spans="22:25" x14ac:dyDescent="0.25">
      <c r="X73" s="23"/>
    </row>
    <row r="74" spans="22:25" x14ac:dyDescent="0.25">
      <c r="X74" s="25"/>
      <c r="Y74" s="25"/>
    </row>
    <row r="75" spans="22:25" ht="80.25" customHeight="1" x14ac:dyDescent="0.25">
      <c r="V75" s="22"/>
      <c r="W75" s="6"/>
    </row>
    <row r="76" spans="22:25" x14ac:dyDescent="0.25">
      <c r="V76" s="22"/>
      <c r="W76" s="6"/>
    </row>
    <row r="77" spans="22:25" x14ac:dyDescent="0.25">
      <c r="V77" s="22"/>
      <c r="W77" s="6"/>
      <c r="X77" s="26"/>
      <c r="Y77" s="26"/>
    </row>
    <row r="78" spans="22:25" x14ac:dyDescent="0.25">
      <c r="V78" s="22"/>
      <c r="W78" s="6"/>
    </row>
    <row r="79" spans="22:25" x14ac:dyDescent="0.25">
      <c r="V79" s="22"/>
      <c r="W79" s="6"/>
    </row>
    <row r="80" spans="22:25" x14ac:dyDescent="0.25">
      <c r="V80" s="22"/>
      <c r="W80" s="6"/>
    </row>
    <row r="81" spans="22:25" x14ac:dyDescent="0.25">
      <c r="V81" s="22"/>
      <c r="W81" s="6"/>
      <c r="X81" s="10"/>
      <c r="Y81" s="10"/>
    </row>
    <row r="82" spans="22:25" x14ac:dyDescent="0.25">
      <c r="V82" s="11"/>
      <c r="W82" s="6"/>
      <c r="X82" s="24"/>
      <c r="Y82" s="24"/>
    </row>
    <row r="83" spans="22:25" x14ac:dyDescent="0.25">
      <c r="V83" s="11"/>
      <c r="W83" s="6"/>
      <c r="X83" s="25"/>
      <c r="Y83" s="25"/>
    </row>
    <row r="84" spans="22:25" ht="42.75" customHeight="1" x14ac:dyDescent="0.25">
      <c r="V84" s="22"/>
      <c r="W84" s="6"/>
    </row>
    <row r="85" spans="22:25" x14ac:dyDescent="0.25">
      <c r="V85" s="22"/>
      <c r="W85" s="6"/>
    </row>
    <row r="86" spans="22:25" x14ac:dyDescent="0.25">
      <c r="V86" s="22"/>
      <c r="W86" s="6"/>
      <c r="X86" s="26"/>
      <c r="Y86" s="26"/>
    </row>
    <row r="87" spans="22:25" x14ac:dyDescent="0.25">
      <c r="V87" s="22"/>
      <c r="W87" s="6"/>
    </row>
    <row r="88" spans="22:25" x14ac:dyDescent="0.25">
      <c r="V88" s="22"/>
      <c r="W88" s="6"/>
    </row>
    <row r="89" spans="22:25" x14ac:dyDescent="0.25">
      <c r="V89" s="22"/>
      <c r="W89" s="6"/>
    </row>
    <row r="90" spans="22:25" x14ac:dyDescent="0.25">
      <c r="V90" s="22"/>
      <c r="W90" s="6"/>
      <c r="X90" s="10"/>
      <c r="Y90" s="10"/>
    </row>
  </sheetData>
  <sheetProtection algorithmName="SHA-512" hashValue="+Fa/1QNfUMlMwHZ8aqiCyQXqiO04q4+ioM+G3V7ShavI3xZg39SllEW1SECu6VIsiA78pFuVR7kKDA3F5u8i8Q==" saltValue="jns5KSPmTZAcFBwf4zZWtA==" spinCount="100000" sheet="1" objects="1" scenarios="1"/>
  <mergeCells count="28">
    <mergeCell ref="H25:P25"/>
    <mergeCell ref="H26:P26"/>
    <mergeCell ref="C4:C5"/>
    <mergeCell ref="D4:D5"/>
    <mergeCell ref="E4:E5"/>
    <mergeCell ref="F4:F5"/>
    <mergeCell ref="G4:G5"/>
    <mergeCell ref="C24:D24"/>
    <mergeCell ref="C23:F23"/>
    <mergeCell ref="E24:F24"/>
    <mergeCell ref="C14:D14"/>
    <mergeCell ref="E14:F14"/>
    <mergeCell ref="H27:P27"/>
    <mergeCell ref="H28:P28"/>
    <mergeCell ref="H4:H5"/>
    <mergeCell ref="N4:Q4"/>
    <mergeCell ref="N5:Q5"/>
    <mergeCell ref="N6:Q6"/>
    <mergeCell ref="G14:H14"/>
    <mergeCell ref="I14:J14"/>
    <mergeCell ref="K14:L14"/>
    <mergeCell ref="M14:N14"/>
    <mergeCell ref="O14:P14"/>
    <mergeCell ref="H24:P24"/>
    <mergeCell ref="J2:J5"/>
    <mergeCell ref="K2:L4"/>
    <mergeCell ref="N3:R3"/>
    <mergeCell ref="N8:O8"/>
  </mergeCells>
  <pageMargins left="0.7" right="0.7" top="0.75" bottom="0.75" header="0.3" footer="0.3"/>
  <ignoredErrors>
    <ignoredError sqref="K16 K17:K21 M17:M21" formula="1"/>
    <ignoredError sqref="G18:H21 O18:P21" evalError="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6ED45-5867-431D-83D3-6DCAA43A1CDF}">
  <sheetPr>
    <tabColor rgb="FFC49BDD"/>
    <pageSetUpPr autoPageBreaks="0"/>
  </sheetPr>
  <dimension ref="B1:Y87"/>
  <sheetViews>
    <sheetView workbookViewId="0">
      <selection activeCell="G23" sqref="G23"/>
    </sheetView>
  </sheetViews>
  <sheetFormatPr defaultRowHeight="15" x14ac:dyDescent="0.25"/>
  <cols>
    <col min="2" max="2" width="9.42578125" customWidth="1"/>
    <col min="3" max="3" width="12.7109375" customWidth="1"/>
    <col min="4" max="4" width="13" customWidth="1"/>
    <col min="5" max="5" width="12" customWidth="1"/>
    <col min="6" max="6" width="10.5703125" customWidth="1"/>
    <col min="7" max="7" width="10.28515625" customWidth="1"/>
    <col min="10" max="10" width="9.5703125" customWidth="1"/>
    <col min="12" max="12" width="10.140625" bestFit="1" customWidth="1"/>
    <col min="14" max="14" width="10.140625" bestFit="1" customWidth="1"/>
    <col min="16" max="16" width="8.85546875" customWidth="1"/>
    <col min="17" max="17" width="10" customWidth="1"/>
    <col min="18" max="18" width="8.85546875" customWidth="1"/>
    <col min="19" max="19" width="11.5703125" customWidth="1"/>
    <col min="20" max="20" width="12.42578125" customWidth="1"/>
    <col min="21" max="21" width="10.7109375" customWidth="1"/>
    <col min="22" max="23" width="9.85546875" customWidth="1"/>
    <col min="25" max="25" width="7.42578125" customWidth="1"/>
  </cols>
  <sheetData>
    <row r="1" spans="2:25" ht="15.75" thickBot="1" x14ac:dyDescent="0.3"/>
    <row r="2" spans="2:25" ht="15" customHeight="1" x14ac:dyDescent="0.25">
      <c r="J2" s="424" t="s">
        <v>9</v>
      </c>
      <c r="K2" s="340" t="s">
        <v>10</v>
      </c>
      <c r="L2" s="347"/>
    </row>
    <row r="3" spans="2:25" ht="15" customHeight="1" thickBot="1" x14ac:dyDescent="0.3">
      <c r="J3" s="425"/>
      <c r="K3" s="342"/>
      <c r="L3" s="349"/>
      <c r="N3" s="418" t="s">
        <v>82</v>
      </c>
      <c r="O3" s="420"/>
      <c r="P3" s="420"/>
      <c r="Q3" s="420"/>
      <c r="R3" s="419"/>
    </row>
    <row r="4" spans="2:25" ht="15.75" customHeight="1" thickBot="1" x14ac:dyDescent="0.3">
      <c r="C4" s="407" t="s">
        <v>16</v>
      </c>
      <c r="D4" s="407" t="s">
        <v>130</v>
      </c>
      <c r="E4" s="407" t="s">
        <v>15</v>
      </c>
      <c r="F4" s="407" t="s">
        <v>131</v>
      </c>
      <c r="G4" s="407" t="s">
        <v>65</v>
      </c>
      <c r="H4" s="407" t="s">
        <v>64</v>
      </c>
      <c r="J4" s="425"/>
      <c r="K4" s="344"/>
      <c r="L4" s="351"/>
      <c r="N4" s="409" t="s">
        <v>30</v>
      </c>
      <c r="O4" s="410"/>
      <c r="P4" s="410"/>
      <c r="Q4" s="411"/>
      <c r="R4" s="167" t="s">
        <v>29</v>
      </c>
    </row>
    <row r="5" spans="2:25" ht="18.75" customHeight="1" thickBot="1" x14ac:dyDescent="0.3">
      <c r="C5" s="408"/>
      <c r="D5" s="408"/>
      <c r="E5" s="408"/>
      <c r="F5" s="408"/>
      <c r="G5" s="408"/>
      <c r="H5" s="408"/>
      <c r="J5" s="434"/>
      <c r="K5" s="204" t="s">
        <v>31</v>
      </c>
      <c r="L5" s="204" t="s">
        <v>12</v>
      </c>
      <c r="N5" s="412" t="s">
        <v>33</v>
      </c>
      <c r="O5" s="413"/>
      <c r="P5" s="413"/>
      <c r="Q5" s="414"/>
      <c r="R5" s="168" t="s">
        <v>32</v>
      </c>
    </row>
    <row r="6" spans="2:25" ht="17.25" customHeight="1" thickBot="1" x14ac:dyDescent="0.4">
      <c r="B6" s="40" t="s">
        <v>39</v>
      </c>
      <c r="C6" s="59" t="e" cm="1" vm="1">
        <f t="array" ref="C6">_xlfn._xlws.FILTER(Emissions!E15:J29,((Emissions!G15:G29="Tier 1")))</f>
        <v>#VALUE!</v>
      </c>
      <c r="D6" s="51"/>
      <c r="E6" s="97"/>
      <c r="F6" s="51"/>
      <c r="G6" s="51"/>
      <c r="H6" s="57"/>
      <c r="J6" s="30" t="s">
        <v>18</v>
      </c>
      <c r="K6" s="172">
        <f>SUMIF(C16:C21, "&gt;0")</f>
        <v>0</v>
      </c>
      <c r="L6" s="173">
        <f>SUMIF(D16:D21, "&gt;0")</f>
        <v>0</v>
      </c>
      <c r="N6" s="415" t="s">
        <v>121</v>
      </c>
      <c r="O6" s="416"/>
      <c r="P6" s="416"/>
      <c r="Q6" s="417"/>
      <c r="R6" s="166" t="s">
        <v>29</v>
      </c>
      <c r="S6" s="11"/>
      <c r="T6" s="19"/>
      <c r="U6" s="76"/>
      <c r="V6" s="77"/>
      <c r="W6" s="78"/>
      <c r="Y6" s="25"/>
    </row>
    <row r="7" spans="2:25" ht="17.25" customHeight="1" thickBot="1" x14ac:dyDescent="0.4">
      <c r="B7" s="40" t="s">
        <v>40</v>
      </c>
      <c r="C7" s="60"/>
      <c r="D7" s="53"/>
      <c r="E7" s="98"/>
      <c r="F7" s="53"/>
      <c r="G7" s="53"/>
      <c r="H7" s="58"/>
      <c r="J7" s="31" t="s">
        <v>19</v>
      </c>
      <c r="K7" s="174">
        <f>SUMIF(E16:E21, "&gt;0")</f>
        <v>0</v>
      </c>
      <c r="L7" s="175">
        <f>SUMIF(F16:F21, "&gt;0")</f>
        <v>0</v>
      </c>
    </row>
    <row r="8" spans="2:25" ht="17.25" customHeight="1" thickBot="1" x14ac:dyDescent="0.3">
      <c r="B8" s="40" t="s">
        <v>41</v>
      </c>
      <c r="C8" s="60"/>
      <c r="D8" s="53"/>
      <c r="E8" s="98"/>
      <c r="F8" s="53"/>
      <c r="G8" s="53"/>
      <c r="H8" s="54"/>
      <c r="J8" s="31" t="s">
        <v>26</v>
      </c>
      <c r="K8" s="176">
        <f>SUMIF(G16:G21, "&gt;0")</f>
        <v>0</v>
      </c>
      <c r="L8" s="177">
        <f>SUMIF(H16:H21, "&gt;0")</f>
        <v>0</v>
      </c>
      <c r="N8" s="418" t="s">
        <v>44</v>
      </c>
      <c r="O8" s="419"/>
      <c r="T8" s="11"/>
      <c r="U8" s="10"/>
      <c r="V8" s="10"/>
    </row>
    <row r="9" spans="2:25" ht="17.25" customHeight="1" thickBot="1" x14ac:dyDescent="0.3">
      <c r="B9" s="40" t="s">
        <v>112</v>
      </c>
      <c r="C9" s="192"/>
      <c r="D9" s="53"/>
      <c r="E9" s="206"/>
      <c r="F9" s="193"/>
      <c r="G9" s="53"/>
      <c r="H9" s="58"/>
      <c r="J9" s="31" t="s">
        <v>20</v>
      </c>
      <c r="K9" s="174">
        <f>SUMIF(I16:I21, "&gt;0")</f>
        <v>0</v>
      </c>
      <c r="L9" s="175">
        <f>SUMIF(J16:J21, "&gt;0")</f>
        <v>0</v>
      </c>
      <c r="N9" s="44">
        <v>2000</v>
      </c>
      <c r="O9" s="167" t="s">
        <v>27</v>
      </c>
      <c r="T9" s="11"/>
      <c r="U9" s="10"/>
      <c r="V9" s="10"/>
      <c r="X9" s="26"/>
      <c r="Y9" s="26"/>
    </row>
    <row r="10" spans="2:25" ht="17.25" customHeight="1" thickBot="1" x14ac:dyDescent="0.3">
      <c r="B10" s="40" t="s">
        <v>113</v>
      </c>
      <c r="C10" s="192"/>
      <c r="D10" s="53"/>
      <c r="E10" s="206"/>
      <c r="F10" s="193"/>
      <c r="G10" s="53"/>
      <c r="H10" s="58"/>
      <c r="J10" s="31" t="s">
        <v>21</v>
      </c>
      <c r="K10" s="174">
        <f>SUMIF(K16:K21, "&gt;0")</f>
        <v>0</v>
      </c>
      <c r="L10" s="175">
        <f>SUMIF(L16:L21, "&gt;0")</f>
        <v>0</v>
      </c>
      <c r="N10" s="44">
        <v>453.59199999999998</v>
      </c>
      <c r="O10" s="168" t="s">
        <v>28</v>
      </c>
      <c r="U10" s="10"/>
      <c r="V10" s="10"/>
    </row>
    <row r="11" spans="2:25" ht="17.25" customHeight="1" thickBot="1" x14ac:dyDescent="0.3">
      <c r="B11" s="40" t="s">
        <v>114</v>
      </c>
      <c r="C11" s="61"/>
      <c r="D11" s="55"/>
      <c r="E11" s="99"/>
      <c r="F11" s="55"/>
      <c r="G11" s="55"/>
      <c r="H11" s="56"/>
      <c r="J11" s="31" t="s">
        <v>22</v>
      </c>
      <c r="K11" s="174">
        <f>SUMIF(M16:M21, "&gt;0")</f>
        <v>0</v>
      </c>
      <c r="L11" s="175">
        <f>SUMIF(N16:N21, "&gt;0")</f>
        <v>0</v>
      </c>
      <c r="N11" s="45">
        <v>139000</v>
      </c>
      <c r="O11" s="166" t="s">
        <v>81</v>
      </c>
      <c r="P11" s="10"/>
      <c r="Q11" s="10"/>
      <c r="R11" s="11"/>
      <c r="T11" s="11"/>
      <c r="U11" s="10"/>
      <c r="V11" s="10"/>
    </row>
    <row r="12" spans="2:25" ht="17.25" customHeight="1" thickBot="1" x14ac:dyDescent="0.3">
      <c r="J12" s="32" t="s">
        <v>23</v>
      </c>
      <c r="K12" s="178">
        <f>SUMIF(O16:O21, "&gt;0")</f>
        <v>0</v>
      </c>
      <c r="L12" s="179">
        <f>SUMIF(P16:P21, "&gt;0")</f>
        <v>0</v>
      </c>
      <c r="N12" s="22"/>
      <c r="O12" s="6"/>
      <c r="P12" s="10"/>
      <c r="Q12" s="10"/>
      <c r="R12" s="11"/>
      <c r="T12" s="11"/>
      <c r="U12" s="10"/>
      <c r="V12" s="10"/>
    </row>
    <row r="13" spans="2:25" x14ac:dyDescent="0.25">
      <c r="B13" s="21"/>
      <c r="C13" s="21"/>
      <c r="E13" s="11"/>
      <c r="F13" s="11"/>
      <c r="M13" s="6"/>
      <c r="O13" s="11"/>
      <c r="P13" s="12"/>
      <c r="Q13" s="25"/>
      <c r="U13" s="10"/>
      <c r="V13" s="10"/>
      <c r="X13" s="10"/>
      <c r="Y13" s="10"/>
    </row>
    <row r="14" spans="2:25" ht="18" customHeight="1" x14ac:dyDescent="0.25">
      <c r="B14" s="8"/>
      <c r="C14" s="431" t="s">
        <v>24</v>
      </c>
      <c r="D14" s="432"/>
      <c r="E14" s="433" t="s">
        <v>25</v>
      </c>
      <c r="F14" s="432"/>
      <c r="G14" s="433" t="s">
        <v>26</v>
      </c>
      <c r="H14" s="432"/>
      <c r="I14" s="433" t="s">
        <v>20</v>
      </c>
      <c r="J14" s="432"/>
      <c r="K14" s="433" t="s">
        <v>21</v>
      </c>
      <c r="L14" s="432"/>
      <c r="M14" s="433" t="s">
        <v>22</v>
      </c>
      <c r="N14" s="432"/>
      <c r="O14" s="433" t="s">
        <v>23</v>
      </c>
      <c r="P14" s="432"/>
      <c r="Q14" s="26"/>
      <c r="X14" s="25"/>
      <c r="Y14" s="25"/>
    </row>
    <row r="15" spans="2:25" s="143" customFormat="1" x14ac:dyDescent="0.25">
      <c r="B15" s="144"/>
      <c r="C15" s="165" t="s">
        <v>29</v>
      </c>
      <c r="D15" s="164" t="s">
        <v>32</v>
      </c>
      <c r="E15" s="163" t="s">
        <v>29</v>
      </c>
      <c r="F15" s="164" t="s">
        <v>32</v>
      </c>
      <c r="G15" s="163" t="s">
        <v>29</v>
      </c>
      <c r="H15" s="164" t="s">
        <v>32</v>
      </c>
      <c r="I15" s="163" t="s">
        <v>29</v>
      </c>
      <c r="J15" s="164" t="s">
        <v>32</v>
      </c>
      <c r="K15" s="163" t="s">
        <v>29</v>
      </c>
      <c r="L15" s="164" t="s">
        <v>32</v>
      </c>
      <c r="M15" s="163" t="s">
        <v>29</v>
      </c>
      <c r="N15" s="164" t="s">
        <v>32</v>
      </c>
      <c r="O15" s="163" t="s">
        <v>29</v>
      </c>
      <c r="P15" s="164" t="s">
        <v>32</v>
      </c>
    </row>
    <row r="16" spans="2:25" x14ac:dyDescent="0.25">
      <c r="B16" s="33" t="s">
        <v>37</v>
      </c>
      <c r="C16" s="150">
        <f t="shared" ref="C16:C21" si="0">IF(D6&lt;11,$C$26*D6/$N$10,IF(AND(D6&gt;=11,D6&lt;25),$E$26*D6/$N$10,IF(AND(D6&gt;=25,D6&lt;50),$G$26*D6/$N$10,IF(AND(D6&gt;=50,D6&lt;100),$I$26*D6/$N$10,IF(AND(D6&gt;=100,D6&lt;175),$K$26*D6/$N$10,(IF(AND(D6&gt;=175,D6&lt;=600),$M$26*D6/$N$10,IF(D6&gt;600,$O$26*D6/$N$10))))))))</f>
        <v>0</v>
      </c>
      <c r="D16" s="153">
        <f t="shared" ref="D16:D21" si="1">(C16*G6)/$N$9</f>
        <v>0</v>
      </c>
      <c r="E16" s="86">
        <f t="shared" ref="E16:E18" si="2">C16</f>
        <v>0</v>
      </c>
      <c r="F16" s="155">
        <f t="shared" ref="F16:F18" si="3">D16</f>
        <v>0</v>
      </c>
      <c r="G16" s="158" t="e">
        <f t="shared" ref="G16:G21" si="4">(F6/G6)*$D$28</f>
        <v>#DIV/0!</v>
      </c>
      <c r="H16" s="159" t="e">
        <f t="shared" ref="H16:H21" si="5">(G16*G6)/$N$9</f>
        <v>#DIV/0!</v>
      </c>
      <c r="I16" s="90">
        <f t="shared" ref="I16:I21" si="6">IF(D6&lt;11,$C$29*D6/$N$10,IF(AND(D6&gt;=11,D6&lt;25),$E$29*D6/$N$10,IF(AND(D6&gt;=25,D6&lt;50),$G$29*D6/$N$10,IF(AND(D6&gt;=50,D6&lt;100),$I$29*D6/$N$10,IF(AND(D6&gt;=100,D6&lt;175),$K$29*D6/$N$10,(IF(AND(D6&gt;=175,D6&lt;=600),$M$29*D6/$N$10,IF(D6&gt;600,$O$29*D6/$N$10))))))))</f>
        <v>0</v>
      </c>
      <c r="J16" s="153">
        <f t="shared" ref="J16:J21" si="7">(I16*G6)/$N$9</f>
        <v>0</v>
      </c>
      <c r="K16" s="90">
        <f t="shared" ref="K16:K21" si="8">IF(D6&lt;11,$C$30*D6/$N$10,IF(AND(D6&gt;=11,D6&lt;25),$E$30*D6/$N$10,IF(AND(D6&gt;=25,D6&lt;50),$G$30*D6/$N$10,IF(AND(D6&gt;=50,D6&lt;100),$I$30*D6/$N$10,IF(AND(D6&gt;=100,D6&lt;175),$K$30*D6/$N$10,(IF(AND(D6&gt;=175,D6&lt;=600),$M$30*D6/$N$10,IF(D6&gt;600,$O$30*D6/$N$10))))))))</f>
        <v>0</v>
      </c>
      <c r="L16" s="153">
        <f t="shared" ref="L16:L21" si="9">(K16*G6)/$N$9</f>
        <v>0</v>
      </c>
      <c r="M16" s="90">
        <f t="shared" ref="M16:M21" si="10">IF(D6&lt;11,$C$31*D6/$N$10,IF(AND(D6&gt;=11,D6&lt;25),$E$31*D6/$N$10,IF(AND(D6&gt;=25,D6&lt;50),$G$31*D6/$N$10,IF(AND(D6&gt;=50,D6&lt;100),$I$31*D6/$N$10,IF(AND(D6&gt;=100,D6&lt;175),$K$31*D6/$N$10,(IF(AND(D6&gt;=175,D6&lt;=600),$M$31*D6/$N$10,IF(D6&gt;600,$O$31*D6/$N$10))))))))</f>
        <v>0</v>
      </c>
      <c r="N16" s="153">
        <f t="shared" ref="N16:N21" si="11">(M16*G6)/$N$9</f>
        <v>0</v>
      </c>
      <c r="O16" s="158" t="e">
        <f t="shared" ref="O16:O21" si="12">IF(D6&lt;=600,(F6/G6)*$N$32,IF(D6&gt;600,(F6/G6)*$P$32))</f>
        <v>#DIV/0!</v>
      </c>
      <c r="P16" s="9" t="e">
        <f t="shared" ref="P16:P21" si="13">(O16*G6)/$N$9</f>
        <v>#DIV/0!</v>
      </c>
    </row>
    <row r="17" spans="2:25" x14ac:dyDescent="0.25">
      <c r="B17" s="33" t="s">
        <v>42</v>
      </c>
      <c r="C17" s="150">
        <f t="shared" si="0"/>
        <v>0</v>
      </c>
      <c r="D17" s="153">
        <f t="shared" si="1"/>
        <v>0</v>
      </c>
      <c r="E17" s="86">
        <f t="shared" si="2"/>
        <v>0</v>
      </c>
      <c r="F17" s="155">
        <f t="shared" si="3"/>
        <v>0</v>
      </c>
      <c r="G17" s="158" t="e">
        <f t="shared" si="4"/>
        <v>#DIV/0!</v>
      </c>
      <c r="H17" s="159" t="e">
        <f t="shared" si="5"/>
        <v>#DIV/0!</v>
      </c>
      <c r="I17" s="90">
        <f t="shared" si="6"/>
        <v>0</v>
      </c>
      <c r="J17" s="153">
        <f t="shared" si="7"/>
        <v>0</v>
      </c>
      <c r="K17" s="90">
        <f t="shared" si="8"/>
        <v>0</v>
      </c>
      <c r="L17" s="153">
        <f t="shared" si="9"/>
        <v>0</v>
      </c>
      <c r="M17" s="90">
        <f t="shared" si="10"/>
        <v>0</v>
      </c>
      <c r="N17" s="153">
        <f t="shared" si="11"/>
        <v>0</v>
      </c>
      <c r="O17" s="158" t="e">
        <f t="shared" si="12"/>
        <v>#DIV/0!</v>
      </c>
      <c r="P17" s="9" t="e">
        <f t="shared" si="13"/>
        <v>#DIV/0!</v>
      </c>
      <c r="X17" s="26"/>
      <c r="Y17" s="26"/>
    </row>
    <row r="18" spans="2:25" x14ac:dyDescent="0.25">
      <c r="B18" s="33" t="s">
        <v>43</v>
      </c>
      <c r="C18" s="150">
        <f t="shared" si="0"/>
        <v>0</v>
      </c>
      <c r="D18" s="153">
        <f t="shared" si="1"/>
        <v>0</v>
      </c>
      <c r="E18" s="86">
        <f t="shared" si="2"/>
        <v>0</v>
      </c>
      <c r="F18" s="155">
        <f t="shared" si="3"/>
        <v>0</v>
      </c>
      <c r="G18" s="158" t="e">
        <f t="shared" si="4"/>
        <v>#DIV/0!</v>
      </c>
      <c r="H18" s="159" t="e">
        <f t="shared" si="5"/>
        <v>#DIV/0!</v>
      </c>
      <c r="I18" s="90">
        <f t="shared" si="6"/>
        <v>0</v>
      </c>
      <c r="J18" s="153">
        <f>(I18*G8)/$N$9</f>
        <v>0</v>
      </c>
      <c r="K18" s="90">
        <f t="shared" si="8"/>
        <v>0</v>
      </c>
      <c r="L18" s="153">
        <f>(K18*G8)/$N$9</f>
        <v>0</v>
      </c>
      <c r="M18" s="90">
        <f t="shared" si="10"/>
        <v>0</v>
      </c>
      <c r="N18" s="153">
        <f>(M18*G8)/$N$9</f>
        <v>0</v>
      </c>
      <c r="O18" s="158" t="e">
        <f t="shared" si="12"/>
        <v>#DIV/0!</v>
      </c>
      <c r="P18" s="9" t="e">
        <f t="shared" si="13"/>
        <v>#DIV/0!</v>
      </c>
    </row>
    <row r="19" spans="2:25" x14ac:dyDescent="0.25">
      <c r="B19" s="33" t="s">
        <v>109</v>
      </c>
      <c r="C19" s="150">
        <f t="shared" si="0"/>
        <v>0</v>
      </c>
      <c r="D19" s="153">
        <f t="shared" si="1"/>
        <v>0</v>
      </c>
      <c r="E19" s="86">
        <f t="shared" ref="E19:F21" si="14">C19</f>
        <v>0</v>
      </c>
      <c r="F19" s="155">
        <f t="shared" si="14"/>
        <v>0</v>
      </c>
      <c r="G19" s="158" t="e">
        <f t="shared" si="4"/>
        <v>#DIV/0!</v>
      </c>
      <c r="H19" s="159" t="e">
        <f t="shared" si="5"/>
        <v>#DIV/0!</v>
      </c>
      <c r="I19" s="90">
        <f t="shared" si="6"/>
        <v>0</v>
      </c>
      <c r="J19" s="162">
        <f t="shared" si="7"/>
        <v>0</v>
      </c>
      <c r="K19" s="90">
        <f t="shared" si="8"/>
        <v>0</v>
      </c>
      <c r="L19" s="162">
        <f t="shared" si="9"/>
        <v>0</v>
      </c>
      <c r="M19" s="90">
        <f t="shared" si="10"/>
        <v>0</v>
      </c>
      <c r="N19" s="162">
        <f t="shared" si="11"/>
        <v>0</v>
      </c>
      <c r="O19" s="158" t="e">
        <f t="shared" si="12"/>
        <v>#DIV/0!</v>
      </c>
      <c r="P19" s="9" t="e">
        <f t="shared" si="13"/>
        <v>#DIV/0!</v>
      </c>
      <c r="V19" s="22"/>
      <c r="W19" s="6"/>
    </row>
    <row r="20" spans="2:25" x14ac:dyDescent="0.25">
      <c r="B20" s="33" t="s">
        <v>110</v>
      </c>
      <c r="C20" s="150">
        <f t="shared" si="0"/>
        <v>0</v>
      </c>
      <c r="D20" s="153">
        <f t="shared" si="1"/>
        <v>0</v>
      </c>
      <c r="E20" s="86">
        <f t="shared" si="14"/>
        <v>0</v>
      </c>
      <c r="F20" s="155">
        <f t="shared" si="14"/>
        <v>0</v>
      </c>
      <c r="G20" s="158" t="e">
        <f t="shared" si="4"/>
        <v>#DIV/0!</v>
      </c>
      <c r="H20" s="159" t="e">
        <f t="shared" si="5"/>
        <v>#DIV/0!</v>
      </c>
      <c r="I20" s="90">
        <f t="shared" si="6"/>
        <v>0</v>
      </c>
      <c r="J20" s="162">
        <f t="shared" si="7"/>
        <v>0</v>
      </c>
      <c r="K20" s="90">
        <f t="shared" si="8"/>
        <v>0</v>
      </c>
      <c r="L20" s="162">
        <f t="shared" si="9"/>
        <v>0</v>
      </c>
      <c r="M20" s="90">
        <f t="shared" si="10"/>
        <v>0</v>
      </c>
      <c r="N20" s="162">
        <f t="shared" si="11"/>
        <v>0</v>
      </c>
      <c r="O20" s="158" t="e">
        <f t="shared" si="12"/>
        <v>#DIV/0!</v>
      </c>
      <c r="P20" s="9" t="e">
        <f t="shared" si="13"/>
        <v>#DIV/0!</v>
      </c>
      <c r="Q20" s="20"/>
      <c r="R20" s="19"/>
      <c r="V20" s="22"/>
      <c r="W20" s="6"/>
    </row>
    <row r="21" spans="2:25" x14ac:dyDescent="0.25">
      <c r="B21" s="33" t="s">
        <v>111</v>
      </c>
      <c r="C21" s="152">
        <f t="shared" si="0"/>
        <v>0</v>
      </c>
      <c r="D21" s="154">
        <f t="shared" si="1"/>
        <v>0</v>
      </c>
      <c r="E21" s="156">
        <f t="shared" si="14"/>
        <v>0</v>
      </c>
      <c r="F21" s="157">
        <f t="shared" si="14"/>
        <v>0</v>
      </c>
      <c r="G21" s="160" t="e">
        <f t="shared" si="4"/>
        <v>#DIV/0!</v>
      </c>
      <c r="H21" s="161" t="e">
        <f t="shared" si="5"/>
        <v>#DIV/0!</v>
      </c>
      <c r="I21" s="156">
        <f t="shared" si="6"/>
        <v>0</v>
      </c>
      <c r="J21" s="157">
        <f t="shared" si="7"/>
        <v>0</v>
      </c>
      <c r="K21" s="156">
        <f t="shared" si="8"/>
        <v>0</v>
      </c>
      <c r="L21" s="157">
        <f t="shared" si="9"/>
        <v>0</v>
      </c>
      <c r="M21" s="156">
        <f t="shared" si="10"/>
        <v>0</v>
      </c>
      <c r="N21" s="157">
        <f t="shared" si="11"/>
        <v>0</v>
      </c>
      <c r="O21" s="160" t="e">
        <f t="shared" si="12"/>
        <v>#DIV/0!</v>
      </c>
      <c r="P21" s="17" t="e">
        <f t="shared" si="13"/>
        <v>#DIV/0!</v>
      </c>
      <c r="V21" s="22"/>
      <c r="W21" s="6"/>
      <c r="X21" s="10"/>
      <c r="Y21" s="10"/>
    </row>
    <row r="22" spans="2:25" x14ac:dyDescent="0.25">
      <c r="O22" s="22"/>
      <c r="P22" s="6"/>
      <c r="X22" s="23"/>
      <c r="Y22" s="23"/>
    </row>
    <row r="23" spans="2:25" x14ac:dyDescent="0.25">
      <c r="B23" s="19"/>
      <c r="C23" s="418" t="s">
        <v>108</v>
      </c>
      <c r="D23" s="420"/>
      <c r="E23" s="420"/>
      <c r="F23" s="420"/>
      <c r="G23" s="420"/>
      <c r="H23" s="420"/>
      <c r="I23" s="420"/>
      <c r="J23" s="420"/>
      <c r="K23" s="420"/>
      <c r="L23" s="420"/>
      <c r="M23" s="420"/>
      <c r="N23" s="420"/>
      <c r="O23" s="420"/>
      <c r="P23" s="419"/>
      <c r="X23" s="25"/>
      <c r="Y23" s="25"/>
    </row>
    <row r="24" spans="2:25" x14ac:dyDescent="0.25">
      <c r="B24" s="6"/>
      <c r="C24" s="429" t="s">
        <v>107</v>
      </c>
      <c r="D24" s="430"/>
      <c r="E24" s="429" t="s">
        <v>115</v>
      </c>
      <c r="F24" s="430"/>
      <c r="G24" s="429" t="s">
        <v>116</v>
      </c>
      <c r="H24" s="430"/>
      <c r="I24" s="429" t="s">
        <v>117</v>
      </c>
      <c r="J24" s="430"/>
      <c r="K24" s="429" t="s">
        <v>118</v>
      </c>
      <c r="L24" s="430"/>
      <c r="M24" s="429" t="s">
        <v>119</v>
      </c>
      <c r="N24" s="430"/>
      <c r="O24" s="429" t="s">
        <v>120</v>
      </c>
      <c r="P24" s="430"/>
      <c r="V24" s="22"/>
      <c r="W24" s="6"/>
    </row>
    <row r="25" spans="2:25" ht="18" customHeight="1" x14ac:dyDescent="0.25">
      <c r="C25" s="28" t="s">
        <v>17</v>
      </c>
      <c r="D25" s="29" t="s">
        <v>11</v>
      </c>
      <c r="E25" s="28" t="s">
        <v>17</v>
      </c>
      <c r="F25" s="29" t="s">
        <v>11</v>
      </c>
      <c r="G25" s="28" t="s">
        <v>17</v>
      </c>
      <c r="H25" s="29" t="s">
        <v>11</v>
      </c>
      <c r="I25" s="28" t="s">
        <v>17</v>
      </c>
      <c r="J25" s="29" t="s">
        <v>11</v>
      </c>
      <c r="K25" s="28" t="s">
        <v>17</v>
      </c>
      <c r="L25" s="29" t="s">
        <v>11</v>
      </c>
      <c r="M25" s="28" t="s">
        <v>17</v>
      </c>
      <c r="N25" s="29" t="s">
        <v>11</v>
      </c>
      <c r="O25" s="28" t="s">
        <v>17</v>
      </c>
      <c r="P25" s="29" t="s">
        <v>11</v>
      </c>
      <c r="V25" s="22"/>
      <c r="W25" s="6"/>
    </row>
    <row r="26" spans="2:25" ht="18" x14ac:dyDescent="0.35">
      <c r="B26" s="6" t="s">
        <v>18</v>
      </c>
      <c r="C26" s="34">
        <v>0.75</v>
      </c>
      <c r="D26" s="8"/>
      <c r="E26" s="34">
        <v>0.6</v>
      </c>
      <c r="F26" s="8"/>
      <c r="G26" s="34">
        <v>0.6</v>
      </c>
      <c r="H26" s="8"/>
      <c r="I26" s="34">
        <f>0.0022*$N$10</f>
        <v>0.99790240000000008</v>
      </c>
      <c r="J26" s="8"/>
      <c r="K26" s="34">
        <f>0.0022*$N$10</f>
        <v>0.99790240000000008</v>
      </c>
      <c r="L26" s="8"/>
      <c r="M26" s="34">
        <v>0.4</v>
      </c>
      <c r="N26" s="8"/>
      <c r="O26" s="34">
        <v>0.4</v>
      </c>
      <c r="P26" s="8"/>
      <c r="V26" s="22"/>
      <c r="W26" s="6"/>
      <c r="X26" s="26"/>
      <c r="Y26" s="26"/>
    </row>
    <row r="27" spans="2:25" ht="18" customHeight="1" x14ac:dyDescent="0.35">
      <c r="B27" s="6" t="s">
        <v>19</v>
      </c>
      <c r="C27" s="34">
        <v>0.75</v>
      </c>
      <c r="D27" s="8"/>
      <c r="E27" s="34">
        <v>0.6</v>
      </c>
      <c r="F27" s="8"/>
      <c r="G27" s="34">
        <v>0.6</v>
      </c>
      <c r="H27" s="8"/>
      <c r="I27" s="34">
        <f>0.0022*$N$10</f>
        <v>0.99790240000000008</v>
      </c>
      <c r="J27" s="8"/>
      <c r="K27" s="34">
        <f>0.0022*$N$10</f>
        <v>0.99790240000000008</v>
      </c>
      <c r="L27" s="8"/>
      <c r="M27" s="34">
        <v>0.4</v>
      </c>
      <c r="N27" s="8"/>
      <c r="O27" s="34">
        <v>0.4</v>
      </c>
      <c r="P27" s="8"/>
      <c r="V27" s="22"/>
      <c r="W27" s="6"/>
    </row>
    <row r="28" spans="2:25" x14ac:dyDescent="0.25">
      <c r="B28" s="6" t="s">
        <v>26</v>
      </c>
      <c r="C28" s="42"/>
      <c r="D28" s="149">
        <f>6.943*0.000015*2</f>
        <v>2.0829E-4</v>
      </c>
      <c r="E28" s="42"/>
      <c r="F28" s="149">
        <f>6.943*0.000015*2</f>
        <v>2.0829E-4</v>
      </c>
      <c r="G28" s="42"/>
      <c r="H28" s="149">
        <f>6.943*0.000015*2</f>
        <v>2.0829E-4</v>
      </c>
      <c r="I28" s="42"/>
      <c r="J28" s="149">
        <f>6.943*0.000015*2</f>
        <v>2.0829E-4</v>
      </c>
      <c r="K28" s="42"/>
      <c r="L28" s="149">
        <f>6.943*0.000015*2</f>
        <v>2.0829E-4</v>
      </c>
      <c r="M28" s="42"/>
      <c r="N28" s="149">
        <f>6.943*0.000015*2</f>
        <v>2.0829E-4</v>
      </c>
      <c r="O28" s="42"/>
      <c r="P28" s="149">
        <f>6.943*0.000015*2</f>
        <v>2.0829E-4</v>
      </c>
      <c r="V28" s="22"/>
      <c r="W28" s="6"/>
    </row>
    <row r="29" spans="2:25" x14ac:dyDescent="0.25">
      <c r="B29" s="6" t="s">
        <v>20</v>
      </c>
      <c r="C29" s="34">
        <f>0.95*7.8</f>
        <v>7.4099999999999993</v>
      </c>
      <c r="D29" s="8"/>
      <c r="E29" s="34">
        <f>0.95*7.1</f>
        <v>6.7449999999999992</v>
      </c>
      <c r="F29" s="8"/>
      <c r="G29" s="34">
        <f>0.95*7.1</f>
        <v>6.7449999999999992</v>
      </c>
      <c r="H29" s="8"/>
      <c r="I29" s="34">
        <v>6.9</v>
      </c>
      <c r="J29" s="8"/>
      <c r="K29" s="34">
        <v>6.9</v>
      </c>
      <c r="L29" s="8"/>
      <c r="M29" s="34">
        <v>6.9</v>
      </c>
      <c r="N29" s="8"/>
      <c r="O29" s="34">
        <v>6.9</v>
      </c>
      <c r="P29" s="8"/>
      <c r="V29" s="22"/>
      <c r="W29" s="6"/>
    </row>
    <row r="30" spans="2:25" x14ac:dyDescent="0.25">
      <c r="B30" s="6" t="s">
        <v>21</v>
      </c>
      <c r="C30" s="34">
        <f>0.05*7.8</f>
        <v>0.39</v>
      </c>
      <c r="D30" s="8"/>
      <c r="E30" s="34">
        <f>0.05*7.1</f>
        <v>0.35499999999999998</v>
      </c>
      <c r="F30" s="8"/>
      <c r="G30" s="34">
        <f>0.05*7.1</f>
        <v>0.35499999999999998</v>
      </c>
      <c r="H30" s="8"/>
      <c r="I30" s="34">
        <f>(0.00247+0.0000441)*$N$10</f>
        <v>1.1403756472</v>
      </c>
      <c r="J30" s="8"/>
      <c r="K30" s="34">
        <f>(0.00247+0.0000441)*$N$10</f>
        <v>1.1403756472</v>
      </c>
      <c r="L30" s="8"/>
      <c r="M30" s="34">
        <v>1</v>
      </c>
      <c r="N30" s="8"/>
      <c r="O30" s="34">
        <v>1</v>
      </c>
      <c r="P30" s="8"/>
      <c r="V30" s="22"/>
      <c r="W30" s="6"/>
      <c r="X30" s="10"/>
      <c r="Y30" s="10"/>
    </row>
    <row r="31" spans="2:25" x14ac:dyDescent="0.25">
      <c r="B31" s="6" t="s">
        <v>22</v>
      </c>
      <c r="C31" s="34">
        <v>6</v>
      </c>
      <c r="D31" s="8"/>
      <c r="E31" s="34">
        <v>4.9000000000000004</v>
      </c>
      <c r="F31" s="8"/>
      <c r="G31" s="34">
        <v>4.0999999999999996</v>
      </c>
      <c r="H31" s="8"/>
      <c r="I31" s="34">
        <f>0.00668*$N$10</f>
        <v>3.02999456</v>
      </c>
      <c r="J31" s="8"/>
      <c r="K31" s="34">
        <f>0.00668*$N$10</f>
        <v>3.02999456</v>
      </c>
      <c r="L31" s="8"/>
      <c r="M31" s="34">
        <v>8.5</v>
      </c>
      <c r="N31" s="8"/>
      <c r="O31" s="34">
        <v>8.5</v>
      </c>
      <c r="P31" s="8"/>
      <c r="X31" s="23"/>
      <c r="Y31" s="23"/>
    </row>
    <row r="32" spans="2:25" x14ac:dyDescent="0.25">
      <c r="B32" s="6" t="s">
        <v>23</v>
      </c>
      <c r="C32" s="16"/>
      <c r="D32" s="17">
        <f>'Tier 0'!T18</f>
        <v>5.3843040000000003E-4</v>
      </c>
      <c r="E32" s="16"/>
      <c r="F32" s="17">
        <f>'Tier 0'!T18</f>
        <v>5.3843040000000003E-4</v>
      </c>
      <c r="G32" s="16"/>
      <c r="H32" s="17">
        <f>'Tier 0'!T18</f>
        <v>5.3843040000000003E-4</v>
      </c>
      <c r="I32" s="16"/>
      <c r="J32" s="17">
        <f>'Tier 0'!T18</f>
        <v>5.3843040000000003E-4</v>
      </c>
      <c r="K32" s="16"/>
      <c r="L32" s="17">
        <f>'Tier 0'!T18</f>
        <v>5.3843040000000003E-4</v>
      </c>
      <c r="M32" s="16"/>
      <c r="N32" s="17">
        <f>'Tier 0'!T18</f>
        <v>5.3843040000000003E-4</v>
      </c>
      <c r="O32" s="16"/>
      <c r="P32" s="17">
        <f>'Tier 0'!T27</f>
        <v>2.1878322E-4</v>
      </c>
      <c r="W32" s="6"/>
      <c r="X32" s="24"/>
      <c r="Y32" s="24"/>
    </row>
    <row r="33" spans="2:25" ht="18" customHeight="1" x14ac:dyDescent="0.25">
      <c r="B33" s="5"/>
      <c r="C33" s="5"/>
      <c r="D33" s="22"/>
      <c r="X33" s="25"/>
      <c r="Y33" s="25"/>
    </row>
    <row r="34" spans="2:25" ht="18" customHeight="1" x14ac:dyDescent="0.25">
      <c r="Q34" s="10"/>
      <c r="R34" s="10"/>
      <c r="V34" s="22"/>
      <c r="W34" s="6"/>
    </row>
    <row r="35" spans="2:25" x14ac:dyDescent="0.25">
      <c r="V35" s="22"/>
      <c r="W35" s="6"/>
      <c r="X35" s="26"/>
      <c r="Y35" s="26"/>
    </row>
    <row r="36" spans="2:25" x14ac:dyDescent="0.25">
      <c r="V36" s="22"/>
      <c r="W36" s="6"/>
    </row>
    <row r="37" spans="2:25" x14ac:dyDescent="0.25">
      <c r="V37" s="22"/>
      <c r="W37" s="6"/>
    </row>
    <row r="38" spans="2:25" x14ac:dyDescent="0.25">
      <c r="V38" s="22"/>
      <c r="W38" s="6"/>
    </row>
    <row r="39" spans="2:25" x14ac:dyDescent="0.25">
      <c r="V39" s="22"/>
      <c r="W39" s="6"/>
      <c r="X39" s="10"/>
      <c r="Y39" s="10"/>
    </row>
    <row r="40" spans="2:25" x14ac:dyDescent="0.25">
      <c r="X40" s="23"/>
      <c r="Y40" s="23"/>
    </row>
    <row r="41" spans="2:25" ht="18" customHeight="1" x14ac:dyDescent="0.25">
      <c r="W41" s="6"/>
      <c r="X41" s="24"/>
      <c r="Y41" s="24"/>
    </row>
    <row r="42" spans="2:25" ht="42.75" customHeight="1" x14ac:dyDescent="0.25">
      <c r="X42" s="25"/>
      <c r="Y42" s="25"/>
    </row>
    <row r="43" spans="2:25" ht="80.25" customHeight="1" x14ac:dyDescent="0.25">
      <c r="V43" s="22"/>
      <c r="W43" s="6"/>
    </row>
    <row r="44" spans="2:25" x14ac:dyDescent="0.25">
      <c r="V44" s="22"/>
      <c r="W44" s="6"/>
    </row>
    <row r="45" spans="2:25" x14ac:dyDescent="0.25">
      <c r="V45" s="22"/>
      <c r="W45" s="6"/>
      <c r="X45" s="26"/>
      <c r="Y45" s="26"/>
    </row>
    <row r="46" spans="2:25" x14ac:dyDescent="0.25">
      <c r="V46" s="22"/>
      <c r="W46" s="6"/>
    </row>
    <row r="47" spans="2:25" x14ac:dyDescent="0.25">
      <c r="V47" s="22"/>
      <c r="W47" s="6"/>
    </row>
    <row r="48" spans="2:25" x14ac:dyDescent="0.25">
      <c r="V48" s="22"/>
      <c r="W48" s="6"/>
    </row>
    <row r="49" spans="22:25" x14ac:dyDescent="0.25">
      <c r="V49" s="22"/>
      <c r="W49" s="6"/>
      <c r="X49" s="10"/>
      <c r="Y49" s="10"/>
    </row>
    <row r="50" spans="22:25" x14ac:dyDescent="0.25">
      <c r="X50" s="23"/>
      <c r="Y50" s="23"/>
    </row>
    <row r="51" spans="22:25" x14ac:dyDescent="0.25">
      <c r="W51" s="6"/>
      <c r="X51" s="24"/>
      <c r="Y51" s="24"/>
    </row>
    <row r="52" spans="22:25" x14ac:dyDescent="0.25">
      <c r="X52" s="25"/>
      <c r="Y52" s="25"/>
    </row>
    <row r="53" spans="22:25" ht="80.25" customHeight="1" x14ac:dyDescent="0.25">
      <c r="V53" s="22"/>
      <c r="W53" s="6"/>
    </row>
    <row r="54" spans="22:25" x14ac:dyDescent="0.25">
      <c r="V54" s="22"/>
      <c r="W54" s="6"/>
    </row>
    <row r="55" spans="22:25" x14ac:dyDescent="0.25">
      <c r="V55" s="22"/>
      <c r="W55" s="6"/>
      <c r="X55" s="26"/>
      <c r="Y55" s="26"/>
    </row>
    <row r="56" spans="22:25" x14ac:dyDescent="0.25">
      <c r="V56" s="22"/>
      <c r="W56" s="6"/>
    </row>
    <row r="57" spans="22:25" x14ac:dyDescent="0.25">
      <c r="V57" s="22"/>
      <c r="W57" s="6"/>
    </row>
    <row r="58" spans="22:25" x14ac:dyDescent="0.25">
      <c r="V58" s="22"/>
      <c r="W58" s="6"/>
    </row>
    <row r="59" spans="22:25" x14ac:dyDescent="0.25">
      <c r="V59" s="22"/>
      <c r="W59" s="6"/>
      <c r="X59" s="10"/>
      <c r="Y59" s="10"/>
    </row>
    <row r="60" spans="22:25" x14ac:dyDescent="0.25">
      <c r="X60" s="23"/>
      <c r="Y60" s="23"/>
    </row>
    <row r="61" spans="22:25" x14ac:dyDescent="0.25">
      <c r="W61" s="6"/>
      <c r="X61" s="24"/>
      <c r="Y61" s="24"/>
    </row>
    <row r="62" spans="22:25" x14ac:dyDescent="0.25">
      <c r="X62" s="25"/>
      <c r="Y62" s="25"/>
    </row>
    <row r="63" spans="22:25" ht="80.25" customHeight="1" x14ac:dyDescent="0.25">
      <c r="V63" s="22"/>
      <c r="W63" s="6"/>
    </row>
    <row r="64" spans="22:25" x14ac:dyDescent="0.25">
      <c r="V64" s="22"/>
      <c r="W64" s="6"/>
    </row>
    <row r="65" spans="22:25" x14ac:dyDescent="0.25">
      <c r="V65" s="22"/>
      <c r="W65" s="6"/>
      <c r="X65" s="26"/>
      <c r="Y65" s="26"/>
    </row>
    <row r="66" spans="22:25" x14ac:dyDescent="0.25">
      <c r="V66" s="22"/>
      <c r="W66" s="6"/>
    </row>
    <row r="67" spans="22:25" x14ac:dyDescent="0.25">
      <c r="V67" s="22"/>
      <c r="W67" s="6"/>
    </row>
    <row r="68" spans="22:25" x14ac:dyDescent="0.25">
      <c r="V68" s="22"/>
      <c r="W68" s="6"/>
    </row>
    <row r="69" spans="22:25" x14ac:dyDescent="0.25">
      <c r="V69" s="22"/>
      <c r="W69" s="6"/>
      <c r="X69" s="10"/>
      <c r="Y69" s="10"/>
    </row>
    <row r="70" spans="22:25" x14ac:dyDescent="0.25">
      <c r="X70" s="23"/>
    </row>
    <row r="71" spans="22:25" x14ac:dyDescent="0.25">
      <c r="X71" s="25"/>
      <c r="Y71" s="25"/>
    </row>
    <row r="72" spans="22:25" ht="80.25" customHeight="1" x14ac:dyDescent="0.25">
      <c r="V72" s="22"/>
      <c r="W72" s="6"/>
    </row>
    <row r="73" spans="22:25" x14ac:dyDescent="0.25">
      <c r="V73" s="22"/>
      <c r="W73" s="6"/>
    </row>
    <row r="74" spans="22:25" x14ac:dyDescent="0.25">
      <c r="V74" s="22"/>
      <c r="W74" s="6"/>
      <c r="X74" s="26"/>
      <c r="Y74" s="26"/>
    </row>
    <row r="75" spans="22:25" x14ac:dyDescent="0.25">
      <c r="V75" s="22"/>
      <c r="W75" s="6"/>
    </row>
    <row r="76" spans="22:25" x14ac:dyDescent="0.25">
      <c r="V76" s="22"/>
      <c r="W76" s="6"/>
    </row>
    <row r="77" spans="22:25" x14ac:dyDescent="0.25">
      <c r="V77" s="22"/>
      <c r="W77" s="6"/>
    </row>
    <row r="78" spans="22:25" x14ac:dyDescent="0.25">
      <c r="V78" s="22"/>
      <c r="W78" s="6"/>
      <c r="X78" s="10"/>
      <c r="Y78" s="10"/>
    </row>
    <row r="79" spans="22:25" x14ac:dyDescent="0.25">
      <c r="V79" s="11"/>
      <c r="W79" s="6"/>
      <c r="X79" s="24"/>
      <c r="Y79" s="24"/>
    </row>
    <row r="80" spans="22:25" x14ac:dyDescent="0.25">
      <c r="V80" s="11"/>
      <c r="W80" s="6"/>
      <c r="X80" s="25"/>
      <c r="Y80" s="25"/>
    </row>
    <row r="81" spans="22:25" ht="42.75" customHeight="1" x14ac:dyDescent="0.25">
      <c r="V81" s="22"/>
      <c r="W81" s="6"/>
    </row>
    <row r="82" spans="22:25" x14ac:dyDescent="0.25">
      <c r="V82" s="22"/>
      <c r="W82" s="6"/>
    </row>
    <row r="83" spans="22:25" x14ac:dyDescent="0.25">
      <c r="V83" s="22"/>
      <c r="W83" s="6"/>
      <c r="X83" s="26"/>
      <c r="Y83" s="26"/>
    </row>
    <row r="84" spans="22:25" x14ac:dyDescent="0.25">
      <c r="V84" s="22"/>
      <c r="W84" s="6"/>
    </row>
    <row r="85" spans="22:25" x14ac:dyDescent="0.25">
      <c r="V85" s="22"/>
      <c r="W85" s="6"/>
    </row>
    <row r="86" spans="22:25" x14ac:dyDescent="0.25">
      <c r="V86" s="22"/>
      <c r="W86" s="6"/>
    </row>
    <row r="87" spans="22:25" x14ac:dyDescent="0.25">
      <c r="V87" s="22"/>
      <c r="W87" s="6"/>
      <c r="X87" s="10"/>
      <c r="Y87" s="10"/>
    </row>
  </sheetData>
  <sheetProtection algorithmName="SHA-512" hashValue="RgTGkDlnO7jyLaHoWhhrqEAchtmhCVBdWlCwCOWwHas/zCs4+H4roDNn/4SJhJOsZkZAU6Omgmjv8/FO5wIP7Q==" saltValue="r3DuoJ43YRqLfvgkt1fKPw==" spinCount="100000" sheet="1" objects="1" scenarios="1"/>
  <mergeCells count="28">
    <mergeCell ref="K14:L14"/>
    <mergeCell ref="M14:N14"/>
    <mergeCell ref="O14:P14"/>
    <mergeCell ref="N4:Q4"/>
    <mergeCell ref="N5:Q5"/>
    <mergeCell ref="N6:Q6"/>
    <mergeCell ref="N8:O8"/>
    <mergeCell ref="K2:L4"/>
    <mergeCell ref="N3:R3"/>
    <mergeCell ref="H4:H5"/>
    <mergeCell ref="C14:D14"/>
    <mergeCell ref="E14:F14"/>
    <mergeCell ref="G14:H14"/>
    <mergeCell ref="I14:J14"/>
    <mergeCell ref="C4:C5"/>
    <mergeCell ref="D4:D5"/>
    <mergeCell ref="E4:E5"/>
    <mergeCell ref="F4:F5"/>
    <mergeCell ref="G4:G5"/>
    <mergeCell ref="J2:J5"/>
    <mergeCell ref="C23:P23"/>
    <mergeCell ref="C24:D24"/>
    <mergeCell ref="E24:F24"/>
    <mergeCell ref="G24:H24"/>
    <mergeCell ref="I24:J24"/>
    <mergeCell ref="K24:L24"/>
    <mergeCell ref="M24:N24"/>
    <mergeCell ref="O24:P24"/>
  </mergeCells>
  <pageMargins left="0.7" right="0.7" top="0.75" bottom="0.75" header="0.3" footer="0.3"/>
  <ignoredErrors>
    <ignoredError sqref="G20:H21 O20:P21" evalError="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FC118-08ED-4980-A102-A07FC95B085D}">
  <sheetPr>
    <tabColor rgb="FFA567CB"/>
    <pageSetUpPr autoPageBreaks="0"/>
  </sheetPr>
  <dimension ref="B1:Y86"/>
  <sheetViews>
    <sheetView workbookViewId="0">
      <selection activeCell="G23" sqref="G23"/>
    </sheetView>
  </sheetViews>
  <sheetFormatPr defaultRowHeight="15" x14ac:dyDescent="0.25"/>
  <cols>
    <col min="3" max="3" width="12.7109375" customWidth="1"/>
    <col min="4" max="4" width="13.85546875" customWidth="1"/>
    <col min="5" max="5" width="10.7109375" customWidth="1"/>
    <col min="6" max="7" width="11.28515625" customWidth="1"/>
    <col min="13" max="13" width="10.5703125" customWidth="1"/>
    <col min="14" max="14" width="9.7109375" customWidth="1"/>
    <col min="15" max="15" width="9.85546875" customWidth="1"/>
    <col min="16" max="16" width="9" customWidth="1"/>
    <col min="17" max="17" width="10.140625" customWidth="1"/>
    <col min="18" max="18" width="9.5703125" customWidth="1"/>
    <col min="19" max="19" width="9.7109375" customWidth="1"/>
    <col min="20" max="20" width="10" customWidth="1"/>
    <col min="21" max="21" width="9.85546875" customWidth="1"/>
    <col min="22" max="23" width="10.28515625" customWidth="1"/>
    <col min="25" max="25" width="6.140625" customWidth="1"/>
  </cols>
  <sheetData>
    <row r="1" spans="2:25" ht="15.75" thickBot="1" x14ac:dyDescent="0.3"/>
    <row r="2" spans="2:25" ht="16.5" customHeight="1" x14ac:dyDescent="0.25">
      <c r="H2" s="6"/>
      <c r="J2" s="441" t="s">
        <v>9</v>
      </c>
      <c r="K2" s="435" t="s">
        <v>10</v>
      </c>
      <c r="L2" s="436"/>
      <c r="U2" s="6"/>
    </row>
    <row r="3" spans="2:25" ht="16.5" customHeight="1" thickBot="1" x14ac:dyDescent="0.3">
      <c r="J3" s="442"/>
      <c r="K3" s="437"/>
      <c r="L3" s="438"/>
      <c r="N3" s="418" t="s">
        <v>82</v>
      </c>
      <c r="O3" s="420"/>
      <c r="P3" s="420"/>
      <c r="Q3" s="420"/>
      <c r="R3" s="419"/>
    </row>
    <row r="4" spans="2:25" ht="16.5" customHeight="1" thickBot="1" x14ac:dyDescent="0.3">
      <c r="C4" s="407" t="s">
        <v>16</v>
      </c>
      <c r="D4" s="407" t="s">
        <v>130</v>
      </c>
      <c r="E4" s="407" t="s">
        <v>15</v>
      </c>
      <c r="F4" s="407" t="s">
        <v>131</v>
      </c>
      <c r="G4" s="407" t="s">
        <v>65</v>
      </c>
      <c r="H4" s="407" t="s">
        <v>64</v>
      </c>
      <c r="J4" s="442"/>
      <c r="K4" s="439"/>
      <c r="L4" s="440"/>
      <c r="N4" s="409" t="s">
        <v>30</v>
      </c>
      <c r="O4" s="410"/>
      <c r="P4" s="410"/>
      <c r="Q4" s="411"/>
      <c r="R4" s="167" t="s">
        <v>29</v>
      </c>
    </row>
    <row r="5" spans="2:25" ht="16.5" customHeight="1" thickBot="1" x14ac:dyDescent="0.3">
      <c r="C5" s="408"/>
      <c r="D5" s="408"/>
      <c r="E5" s="408"/>
      <c r="F5" s="408"/>
      <c r="G5" s="408"/>
      <c r="H5" s="408"/>
      <c r="J5" s="443"/>
      <c r="K5" s="205" t="s">
        <v>31</v>
      </c>
      <c r="L5" s="205" t="s">
        <v>12</v>
      </c>
      <c r="N5" s="412" t="s">
        <v>33</v>
      </c>
      <c r="O5" s="413"/>
      <c r="P5" s="413"/>
      <c r="Q5" s="414"/>
      <c r="R5" s="168" t="s">
        <v>32</v>
      </c>
    </row>
    <row r="6" spans="2:25" ht="16.5" customHeight="1" thickBot="1" x14ac:dyDescent="0.4">
      <c r="B6" s="43" t="s">
        <v>39</v>
      </c>
      <c r="C6" s="59" t="e" cm="1" vm="1">
        <f t="array" ref="C6">_xlfn._xlws.FILTER(Emissions!E15:J29,((Emissions!G15:G29="Tier 2")))</f>
        <v>#VALUE!</v>
      </c>
      <c r="D6" s="51"/>
      <c r="E6" s="105"/>
      <c r="F6" s="51"/>
      <c r="G6" s="51"/>
      <c r="H6" s="57"/>
      <c r="J6" s="30" t="s">
        <v>18</v>
      </c>
      <c r="K6" s="197">
        <f>SUMIF(C16:C21, "&gt;0")</f>
        <v>0</v>
      </c>
      <c r="L6" s="198">
        <f>SUMIF(D16:D21, "&gt;0")</f>
        <v>0</v>
      </c>
      <c r="N6" s="415" t="s">
        <v>121</v>
      </c>
      <c r="O6" s="416"/>
      <c r="P6" s="416"/>
      <c r="Q6" s="417"/>
      <c r="R6" s="166" t="s">
        <v>29</v>
      </c>
      <c r="S6" s="11"/>
      <c r="U6" s="180"/>
      <c r="V6" s="36"/>
      <c r="X6" s="25"/>
      <c r="Y6" s="25"/>
    </row>
    <row r="7" spans="2:25" ht="16.5" customHeight="1" thickBot="1" x14ac:dyDescent="0.4">
      <c r="B7" s="43" t="s">
        <v>40</v>
      </c>
      <c r="C7" s="60"/>
      <c r="D7" s="53"/>
      <c r="E7" s="106"/>
      <c r="F7" s="53"/>
      <c r="G7" s="53"/>
      <c r="H7" s="58"/>
      <c r="J7" s="31" t="s">
        <v>19</v>
      </c>
      <c r="K7" s="199">
        <f>SUMIF(E16:E21, "&gt;0")</f>
        <v>0</v>
      </c>
      <c r="L7" s="200">
        <f>SUMIF(F16:F21, "&gt;0")</f>
        <v>0</v>
      </c>
      <c r="P7" s="191"/>
      <c r="Q7" s="81"/>
    </row>
    <row r="8" spans="2:25" ht="16.5" customHeight="1" thickBot="1" x14ac:dyDescent="0.3">
      <c r="B8" s="43" t="s">
        <v>41</v>
      </c>
      <c r="C8" s="60"/>
      <c r="D8" s="53"/>
      <c r="E8" s="106"/>
      <c r="F8" s="53"/>
      <c r="G8" s="53"/>
      <c r="H8" s="54"/>
      <c r="J8" s="31" t="s">
        <v>26</v>
      </c>
      <c r="K8" s="201">
        <f>SUMIF(G16:G21, "&gt;0")</f>
        <v>0</v>
      </c>
      <c r="L8" s="202">
        <f>SUMIF(H16:H21, "&gt;0")</f>
        <v>0</v>
      </c>
      <c r="N8" s="418" t="s">
        <v>44</v>
      </c>
      <c r="O8" s="420"/>
      <c r="P8" s="7"/>
      <c r="T8" s="11"/>
      <c r="U8" s="146"/>
      <c r="V8" s="146"/>
    </row>
    <row r="9" spans="2:25" ht="16.5" customHeight="1" thickBot="1" x14ac:dyDescent="0.3">
      <c r="B9" s="43" t="s">
        <v>112</v>
      </c>
      <c r="C9" s="192"/>
      <c r="D9" s="53"/>
      <c r="E9" s="216"/>
      <c r="F9" s="193"/>
      <c r="G9" s="53"/>
      <c r="H9" s="58"/>
      <c r="J9" s="31" t="s">
        <v>20</v>
      </c>
      <c r="K9" s="199">
        <f>SUMIF(I16:I21, "&gt;0")</f>
        <v>0</v>
      </c>
      <c r="L9" s="200">
        <f>SUMIF(J16:J21, "&gt;0")</f>
        <v>0</v>
      </c>
      <c r="N9" s="44">
        <v>2000</v>
      </c>
      <c r="O9" s="167" t="s">
        <v>27</v>
      </c>
      <c r="P9" s="7"/>
      <c r="T9" s="11"/>
      <c r="U9" s="146"/>
      <c r="V9" s="146"/>
      <c r="X9" s="81"/>
      <c r="Y9" s="81"/>
    </row>
    <row r="10" spans="2:25" ht="16.5" customHeight="1" thickBot="1" x14ac:dyDescent="0.3">
      <c r="B10" s="43" t="s">
        <v>113</v>
      </c>
      <c r="C10" s="192"/>
      <c r="D10" s="53"/>
      <c r="E10" s="216"/>
      <c r="F10" s="193"/>
      <c r="G10" s="53"/>
      <c r="H10" s="58"/>
      <c r="J10" s="31" t="s">
        <v>21</v>
      </c>
      <c r="K10" s="199">
        <f>SUMIF(K16:K21, "&gt;0")</f>
        <v>0</v>
      </c>
      <c r="L10" s="200">
        <f>SUMIF(L16:L21, "&gt;0")</f>
        <v>0</v>
      </c>
      <c r="N10" s="44">
        <v>453.59199999999998</v>
      </c>
      <c r="O10" s="168" t="s">
        <v>28</v>
      </c>
      <c r="P10" s="7"/>
    </row>
    <row r="11" spans="2:25" ht="16.5" customHeight="1" thickBot="1" x14ac:dyDescent="0.3">
      <c r="B11" s="43" t="s">
        <v>114</v>
      </c>
      <c r="C11" s="61"/>
      <c r="D11" s="55"/>
      <c r="E11" s="107"/>
      <c r="F11" s="55"/>
      <c r="G11" s="55"/>
      <c r="H11" s="56"/>
      <c r="J11" s="31" t="s">
        <v>22</v>
      </c>
      <c r="K11" s="199">
        <f>SUMIF(M16:M21, "&gt;0")</f>
        <v>0</v>
      </c>
      <c r="L11" s="200">
        <f>SUMIF(N16:N21, "&gt;0")</f>
        <v>0</v>
      </c>
      <c r="N11" s="45">
        <v>139000</v>
      </c>
      <c r="O11" s="166" t="s">
        <v>81</v>
      </c>
      <c r="T11" s="11"/>
      <c r="U11" s="146"/>
      <c r="V11" s="146"/>
    </row>
    <row r="12" spans="2:25" ht="16.5" customHeight="1" thickBot="1" x14ac:dyDescent="0.3">
      <c r="J12" s="32" t="s">
        <v>23</v>
      </c>
      <c r="K12" s="178">
        <f>SUMIF(O16:O21, "&gt;0")</f>
        <v>0</v>
      </c>
      <c r="L12" s="179">
        <f>SUMIF(P16:P21, "&gt;0")</f>
        <v>0</v>
      </c>
      <c r="N12" s="22"/>
      <c r="O12" s="6"/>
      <c r="V12" s="146"/>
    </row>
    <row r="13" spans="2:25" x14ac:dyDescent="0.25">
      <c r="N13" s="11"/>
      <c r="O13" s="6"/>
      <c r="P13" s="10"/>
      <c r="Q13" s="10"/>
      <c r="X13" s="10"/>
      <c r="Y13" s="10"/>
    </row>
    <row r="14" spans="2:25" ht="18" customHeight="1" x14ac:dyDescent="0.25">
      <c r="C14" s="418" t="s">
        <v>24</v>
      </c>
      <c r="D14" s="419"/>
      <c r="E14" s="418" t="s">
        <v>25</v>
      </c>
      <c r="F14" s="419"/>
      <c r="G14" s="418" t="s">
        <v>26</v>
      </c>
      <c r="H14" s="419"/>
      <c r="I14" s="418" t="s">
        <v>20</v>
      </c>
      <c r="J14" s="419"/>
      <c r="K14" s="418" t="s">
        <v>21</v>
      </c>
      <c r="L14" s="419"/>
      <c r="M14" s="418" t="s">
        <v>22</v>
      </c>
      <c r="N14" s="419"/>
      <c r="O14" s="418" t="s">
        <v>23</v>
      </c>
      <c r="P14" s="419"/>
      <c r="T14" s="11"/>
      <c r="X14" s="25"/>
      <c r="Y14" s="25"/>
    </row>
    <row r="15" spans="2:25" x14ac:dyDescent="0.25">
      <c r="C15" s="147" t="s">
        <v>29</v>
      </c>
      <c r="D15" s="144" t="s">
        <v>32</v>
      </c>
      <c r="E15" s="28" t="s">
        <v>29</v>
      </c>
      <c r="F15" s="29" t="s">
        <v>32</v>
      </c>
      <c r="G15" s="28" t="s">
        <v>29</v>
      </c>
      <c r="H15" s="29" t="s">
        <v>32</v>
      </c>
      <c r="I15" s="28" t="s">
        <v>29</v>
      </c>
      <c r="J15" s="29" t="s">
        <v>32</v>
      </c>
      <c r="K15" s="28" t="s">
        <v>29</v>
      </c>
      <c r="L15" s="29" t="s">
        <v>32</v>
      </c>
      <c r="M15" s="28" t="s">
        <v>29</v>
      </c>
      <c r="N15" s="29" t="s">
        <v>32</v>
      </c>
      <c r="O15" s="145" t="s">
        <v>29</v>
      </c>
      <c r="P15" s="29" t="s">
        <v>32</v>
      </c>
      <c r="Q15" s="81"/>
      <c r="T15" s="11"/>
      <c r="U15" s="146"/>
      <c r="V15" s="146"/>
    </row>
    <row r="16" spans="2:25" x14ac:dyDescent="0.25">
      <c r="B16" s="151" t="s">
        <v>87</v>
      </c>
      <c r="C16" s="89">
        <f t="shared" ref="C16:C21" si="0">IF(D6&lt;11,$C$26*D6/$N$10,IF(AND(D6&gt;=11,D6&lt;25),$E$26*D6/$N$10,IF(AND(D6&gt;=25,D6&lt;50),$G$26*D6/$N$10,IF(AND(D6&gt;=50,D6&lt;100),$I$26*D6/$N$10,IF(AND(D6&gt;=100,D6&lt;175),$K$26*D6/$N$10,IF(AND(D6&gt;=175,$D6&lt;300),$M$26*$D6/$N$10,IF(AND($D6&gt;=300,$D6&lt;600),$O$26*$D6/$N$10,IF(AND($D6&gt;=600,$D6&lt;750),$Q$26*$D6/$N$10,IF($D6&gt;=750,$S$26*$D6/$N$10)))))))))</f>
        <v>0</v>
      </c>
      <c r="D16" s="181">
        <f t="shared" ref="D16:D21" si="1">(C16*G6)/$N$9</f>
        <v>0</v>
      </c>
      <c r="E16" s="89">
        <f>C16</f>
        <v>0</v>
      </c>
      <c r="F16" s="181">
        <f>D16</f>
        <v>0</v>
      </c>
      <c r="G16" s="183" t="e">
        <f t="shared" ref="G16:G21" si="2">(F6/G6)*$D$28</f>
        <v>#DIV/0!</v>
      </c>
      <c r="H16" s="184" t="e">
        <f>(G16*G6)/$N$9</f>
        <v>#DIV/0!</v>
      </c>
      <c r="I16" s="89">
        <f t="shared" ref="I16:I21" si="3">IF($D6&lt;11,$C$29*$D6/$N$10,IF(AND($D6&gt;=11,$D6&lt;25),$E$29*$D6/$N$10,IF(AND($D6&gt;=25,$D6&lt;50),$G$29*$D6/$N$10,IF(AND($D6&gt;=50,$D6&lt;100),$I$29*D6/$N$10,IF(AND($D6&gt;=100,$D6&lt;175),$K$29*$D6/$N$10,IF(AND($D6&gt;=175,$D6&lt;300),$M$29*$D6/$N$10,IF(AND($D6&gt;=300,$D6&lt;600),$O$29*$D6/$N$10,IF(AND($D6&gt;=600,$D6&lt;750),$Q$29*$D6/$N$10,IF($D6&gt;=750,$S$29*$D6/$N$10)))))))))</f>
        <v>0</v>
      </c>
      <c r="J16" s="182">
        <f t="shared" ref="J16:J21" si="4">(I16*G6)/$N$9</f>
        <v>0</v>
      </c>
      <c r="K16" s="89">
        <f>IF($D6&lt;11,$C$30*$D6/$N$10,IF(AND($D6&gt;=11,$D6&lt;25),$E$30*$D6/$N$10,IF(AND($D6&gt;=25,$D6&lt;50),$G$30*$D6/$N$10,IF(AND($D6&gt;=50,$D6&lt;100),$I$30*$D6/$N$10,IF(AND($D6&gt;=100,$D6&lt;175),$K$30*$D6/$N$10,IF(AND($D6&gt;=175,$D6&lt;300),$M$30*$D6/$N$10,IF(AND($D6&gt;=300,$D6&lt;600),$O$30*$D6/$N$10,IF(AND($D6&gt;=600,$D6&lt;750),$Q$30*$D6/$N$10,IF($D6&gt;=750,$S$30*$D6/$N$10)))))))))</f>
        <v>0</v>
      </c>
      <c r="L16" s="182">
        <f>(K16*G6)/$N$9</f>
        <v>0</v>
      </c>
      <c r="M16" s="89">
        <f>IF($D6&lt;11,$C$31*$D6/$N$10,IF(AND($D6&gt;=11,$D6&lt;25),$E$31*$D6/$N$10,IF(AND($D6&gt;=25,$D6&lt;50),$G$31*$D6/$N$10,IF(AND($D6&gt;=50,$D6&lt;100),$I$31*$D6/$N$10,IF(AND($D6&gt;=100,$D6&lt;175),$K$31*$D6/$N$10,IF(AND($D6&gt;=175,$D6&lt;300),$M$31*$D6/$N$10,IF(AND($D6&gt;=300,$D6&lt;600),$O$31*$D6/$N$10,IF(AND($D6&gt;=600,$D6&lt;750),$Q$31*$D6/$N$10,IF($D6&gt;=750,$S$31*$D6/$N$10)))))))))</f>
        <v>0</v>
      </c>
      <c r="N16" s="181">
        <f>(M16*G6)/$N$9</f>
        <v>0</v>
      </c>
      <c r="O16" s="183" t="e">
        <f t="shared" ref="O16:O21" si="5">IF($D6&lt;600,($F6/$G6)*$D$32,IF($D6&gt;=600,($F6/$G6)*$R$32))</f>
        <v>#DIV/0!</v>
      </c>
      <c r="P16" s="185" t="e">
        <f t="shared" ref="P16:P21" si="6">(O16*G6)/$N$9</f>
        <v>#DIV/0!</v>
      </c>
      <c r="T16" s="11"/>
      <c r="U16" s="146"/>
      <c r="V16" s="146"/>
    </row>
    <row r="17" spans="2:25" x14ac:dyDescent="0.25">
      <c r="B17" s="151" t="s">
        <v>42</v>
      </c>
      <c r="C17" s="90">
        <f t="shared" si="0"/>
        <v>0</v>
      </c>
      <c r="D17" s="182">
        <f t="shared" si="1"/>
        <v>0</v>
      </c>
      <c r="E17" s="90">
        <f t="shared" ref="E17:E21" si="7">C17</f>
        <v>0</v>
      </c>
      <c r="F17" s="182">
        <f t="shared" ref="F17:F18" si="8">D17</f>
        <v>0</v>
      </c>
      <c r="G17" s="158" t="e">
        <f t="shared" si="2"/>
        <v>#DIV/0!</v>
      </c>
      <c r="H17" s="159" t="e">
        <f t="shared" ref="H17:H18" si="9">(G17*G7)/$N$9</f>
        <v>#DIV/0!</v>
      </c>
      <c r="I17" s="90">
        <f t="shared" si="3"/>
        <v>0</v>
      </c>
      <c r="J17" s="182">
        <f t="shared" si="4"/>
        <v>0</v>
      </c>
      <c r="K17" s="90">
        <f t="shared" ref="K17:K21" si="10">IF($D7&lt;11,$C$30*$D7/$N$10,IF(AND($D7&gt;=11,$D7&lt;25),$E$30*$D7/$N$10,IF(AND($D7&gt;=25,$D7&lt;50),$G$30*$D7/$N$10,IF(AND($D7&gt;=50,$D7&lt;100),$I$30*$D7/$N$10,IF(AND($D7&gt;=100,$D7&lt;175),$K$30*$D7/$N$10,IF(AND($D7&gt;=175,$D7&lt;300),$M$30*$D7/$N$10,IF(AND($D7&gt;=300,$D7&lt;600),$O$30*$D7/$N$10,IF(AND($D7&gt;=600,$D7&lt;750),$Q$30*$D7/$N$10,IF($D7&gt;=750,$S$30*$D7/$N$10)))))))))</f>
        <v>0</v>
      </c>
      <c r="L17" s="182">
        <f>(K17*G7)/$N$9</f>
        <v>0</v>
      </c>
      <c r="M17" s="90">
        <f t="shared" ref="M17:M21" si="11">IF($D7&lt;11,$C$31*$D7/$N$10,IF(AND($D7&gt;=11,$D7&lt;25),$E$31*$D7/$N$10,IF(AND($D7&gt;=25,$D7&lt;50),$G$31*$D7/$N$10,IF(AND($D7&gt;=50,$D7&lt;100),$I$31*$D7/$N$10,IF(AND($D7&gt;=100,$D7&lt;175),$K$31*$D7/$N$10,IF(AND($D7&gt;=175,$D7&lt;300),$M$31*$D7/$N$10,IF(AND($D7&gt;=300,$D7&lt;600),$O$31*$D7/$N$10,IF(AND($D7&gt;=600,$D7&lt;750),$Q$31*$D7/$N$10,IF($D7&gt;=750,$S$31*$D7/$N$10)))))))))</f>
        <v>0</v>
      </c>
      <c r="N17" s="182">
        <f>(M17*G7)/$N$9</f>
        <v>0</v>
      </c>
      <c r="O17" s="158" t="e">
        <f t="shared" si="5"/>
        <v>#DIV/0!</v>
      </c>
      <c r="P17" s="186" t="e">
        <f t="shared" si="6"/>
        <v>#DIV/0!</v>
      </c>
      <c r="U17" s="22"/>
      <c r="V17" s="6"/>
      <c r="X17" s="81"/>
      <c r="Y17" s="81"/>
    </row>
    <row r="18" spans="2:25" x14ac:dyDescent="0.25">
      <c r="B18" s="151" t="s">
        <v>43</v>
      </c>
      <c r="C18" s="90">
        <f t="shared" si="0"/>
        <v>0</v>
      </c>
      <c r="D18" s="182">
        <f t="shared" si="1"/>
        <v>0</v>
      </c>
      <c r="E18" s="90">
        <f t="shared" si="7"/>
        <v>0</v>
      </c>
      <c r="F18" s="182">
        <f t="shared" si="8"/>
        <v>0</v>
      </c>
      <c r="G18" s="169" t="e">
        <f t="shared" si="2"/>
        <v>#DIV/0!</v>
      </c>
      <c r="H18" s="159" t="e">
        <f t="shared" si="9"/>
        <v>#DIV/0!</v>
      </c>
      <c r="I18" s="90">
        <f t="shared" si="3"/>
        <v>0</v>
      </c>
      <c r="J18" s="182">
        <f t="shared" si="4"/>
        <v>0</v>
      </c>
      <c r="K18" s="90">
        <f t="shared" si="10"/>
        <v>0</v>
      </c>
      <c r="L18" s="182">
        <f>(K18*G8)/$N$9</f>
        <v>0</v>
      </c>
      <c r="M18" s="90">
        <f t="shared" si="11"/>
        <v>0</v>
      </c>
      <c r="N18" s="182">
        <f>(M18*G8)/$N$9</f>
        <v>0</v>
      </c>
      <c r="O18" s="158" t="e">
        <f t="shared" si="5"/>
        <v>#DIV/0!</v>
      </c>
      <c r="P18" s="195" t="e">
        <f t="shared" si="6"/>
        <v>#DIV/0!</v>
      </c>
      <c r="T18" s="11"/>
      <c r="U18" s="146"/>
      <c r="V18" s="146"/>
    </row>
    <row r="19" spans="2:25" x14ac:dyDescent="0.25">
      <c r="B19" s="203" t="s">
        <v>109</v>
      </c>
      <c r="C19" s="90">
        <f t="shared" si="0"/>
        <v>0</v>
      </c>
      <c r="D19" s="182">
        <f t="shared" si="1"/>
        <v>0</v>
      </c>
      <c r="E19" s="90">
        <f t="shared" si="7"/>
        <v>0</v>
      </c>
      <c r="F19" s="182">
        <f>D19</f>
        <v>0</v>
      </c>
      <c r="G19" s="158" t="e">
        <f t="shared" si="2"/>
        <v>#DIV/0!</v>
      </c>
      <c r="H19" s="159" t="e">
        <f>(G19*G9)/$N$9</f>
        <v>#DIV/0!</v>
      </c>
      <c r="I19" s="90">
        <f t="shared" si="3"/>
        <v>0</v>
      </c>
      <c r="J19" s="182">
        <f t="shared" si="4"/>
        <v>0</v>
      </c>
      <c r="K19" s="90">
        <f t="shared" si="10"/>
        <v>0</v>
      </c>
      <c r="L19" s="182">
        <f t="shared" ref="L19:L21" si="12">(K19*G9)/$N$9</f>
        <v>0</v>
      </c>
      <c r="M19" s="90">
        <f t="shared" si="11"/>
        <v>0</v>
      </c>
      <c r="N19" s="182">
        <f t="shared" ref="N19:N21" si="13">(M19*G9)/$N$9</f>
        <v>0</v>
      </c>
      <c r="O19" s="158" t="e">
        <f t="shared" si="5"/>
        <v>#DIV/0!</v>
      </c>
      <c r="P19" s="186" t="e">
        <f t="shared" si="6"/>
        <v>#DIV/0!</v>
      </c>
      <c r="T19" s="11"/>
      <c r="U19" s="146"/>
      <c r="V19" s="146"/>
    </row>
    <row r="20" spans="2:25" x14ac:dyDescent="0.25">
      <c r="B20" s="203" t="s">
        <v>110</v>
      </c>
      <c r="C20" s="90">
        <f t="shared" si="0"/>
        <v>0</v>
      </c>
      <c r="D20" s="182">
        <f t="shared" si="1"/>
        <v>0</v>
      </c>
      <c r="E20" s="90">
        <f t="shared" si="7"/>
        <v>0</v>
      </c>
      <c r="F20" s="182">
        <f>D20</f>
        <v>0</v>
      </c>
      <c r="G20" s="158" t="e">
        <f t="shared" si="2"/>
        <v>#DIV/0!</v>
      </c>
      <c r="H20" s="159" t="e">
        <f>(G20*G10)/$N$9</f>
        <v>#DIV/0!</v>
      </c>
      <c r="I20" s="90">
        <f t="shared" si="3"/>
        <v>0</v>
      </c>
      <c r="J20" s="182">
        <f t="shared" si="4"/>
        <v>0</v>
      </c>
      <c r="K20" s="90">
        <f t="shared" si="10"/>
        <v>0</v>
      </c>
      <c r="L20" s="182">
        <f t="shared" si="12"/>
        <v>0</v>
      </c>
      <c r="M20" s="90">
        <f t="shared" si="11"/>
        <v>0</v>
      </c>
      <c r="N20" s="182">
        <f t="shared" si="13"/>
        <v>0</v>
      </c>
      <c r="O20" s="158" t="e">
        <f t="shared" si="5"/>
        <v>#DIV/0!</v>
      </c>
      <c r="P20" s="186" t="e">
        <f t="shared" si="6"/>
        <v>#DIV/0!</v>
      </c>
      <c r="U20" s="146"/>
      <c r="V20" s="146"/>
    </row>
    <row r="21" spans="2:25" x14ac:dyDescent="0.25">
      <c r="B21" s="151" t="s">
        <v>111</v>
      </c>
      <c r="C21" s="156">
        <f t="shared" si="0"/>
        <v>0</v>
      </c>
      <c r="D21" s="194">
        <f t="shared" si="1"/>
        <v>0</v>
      </c>
      <c r="E21" s="156">
        <f t="shared" si="7"/>
        <v>0</v>
      </c>
      <c r="F21" s="194">
        <f>D21</f>
        <v>0</v>
      </c>
      <c r="G21" s="160" t="e">
        <f t="shared" si="2"/>
        <v>#DIV/0!</v>
      </c>
      <c r="H21" s="161" t="e">
        <f>(G21*G11)/$N$9</f>
        <v>#DIV/0!</v>
      </c>
      <c r="I21" s="156">
        <f t="shared" si="3"/>
        <v>0</v>
      </c>
      <c r="J21" s="194">
        <f t="shared" si="4"/>
        <v>0</v>
      </c>
      <c r="K21" s="156">
        <f t="shared" si="10"/>
        <v>0</v>
      </c>
      <c r="L21" s="194">
        <f t="shared" si="12"/>
        <v>0</v>
      </c>
      <c r="M21" s="156">
        <f t="shared" si="11"/>
        <v>0</v>
      </c>
      <c r="N21" s="194">
        <f t="shared" si="13"/>
        <v>0</v>
      </c>
      <c r="O21" s="160" t="e">
        <f t="shared" si="5"/>
        <v>#DIV/0!</v>
      </c>
      <c r="P21" s="196" t="e">
        <f t="shared" si="6"/>
        <v>#DIV/0!</v>
      </c>
      <c r="U21" s="146"/>
      <c r="V21" s="146"/>
      <c r="X21" s="10"/>
      <c r="Y21" s="10"/>
    </row>
    <row r="22" spans="2:25" x14ac:dyDescent="0.25">
      <c r="U22" s="146"/>
      <c r="V22" s="146"/>
      <c r="X22" s="23"/>
      <c r="Y22" s="23"/>
    </row>
    <row r="23" spans="2:25" x14ac:dyDescent="0.25">
      <c r="C23" s="418" t="s">
        <v>86</v>
      </c>
      <c r="D23" s="420"/>
      <c r="E23" s="420"/>
      <c r="F23" s="420"/>
      <c r="G23" s="420"/>
      <c r="H23" s="420"/>
      <c r="I23" s="420"/>
      <c r="J23" s="420"/>
      <c r="K23" s="420"/>
      <c r="L23" s="420"/>
      <c r="M23" s="420"/>
      <c r="N23" s="420"/>
      <c r="O23" s="420"/>
      <c r="P23" s="420"/>
      <c r="Q23" s="420"/>
      <c r="R23" s="420"/>
      <c r="S23" s="420"/>
      <c r="T23" s="419"/>
      <c r="U23" s="22"/>
      <c r="V23" s="6"/>
      <c r="X23" s="24"/>
      <c r="Y23" s="24"/>
    </row>
    <row r="24" spans="2:25" x14ac:dyDescent="0.25">
      <c r="C24" s="429" t="s">
        <v>107</v>
      </c>
      <c r="D24" s="430"/>
      <c r="E24" s="429" t="s">
        <v>123</v>
      </c>
      <c r="F24" s="430"/>
      <c r="G24" s="429" t="s">
        <v>124</v>
      </c>
      <c r="H24" s="430"/>
      <c r="I24" s="429" t="s">
        <v>125</v>
      </c>
      <c r="J24" s="430"/>
      <c r="K24" s="429" t="s">
        <v>126</v>
      </c>
      <c r="L24" s="430"/>
      <c r="M24" s="429" t="s">
        <v>127</v>
      </c>
      <c r="N24" s="430"/>
      <c r="O24" s="429" t="s">
        <v>122</v>
      </c>
      <c r="P24" s="430"/>
      <c r="Q24" s="429" t="s">
        <v>128</v>
      </c>
      <c r="R24" s="430"/>
      <c r="S24" s="429" t="s">
        <v>129</v>
      </c>
      <c r="T24" s="430"/>
      <c r="U24" s="10"/>
      <c r="V24" s="10"/>
      <c r="X24" s="25"/>
      <c r="Y24" s="25"/>
    </row>
    <row r="25" spans="2:25" x14ac:dyDescent="0.25">
      <c r="C25" s="28" t="s">
        <v>17</v>
      </c>
      <c r="D25" s="29" t="s">
        <v>11</v>
      </c>
      <c r="E25" s="28" t="s">
        <v>17</v>
      </c>
      <c r="F25" s="29" t="s">
        <v>11</v>
      </c>
      <c r="G25" s="28" t="s">
        <v>17</v>
      </c>
      <c r="H25" s="29" t="s">
        <v>11</v>
      </c>
      <c r="I25" s="28" t="s">
        <v>17</v>
      </c>
      <c r="J25" s="29" t="s">
        <v>11</v>
      </c>
      <c r="K25" s="28" t="s">
        <v>17</v>
      </c>
      <c r="L25" s="29" t="s">
        <v>11</v>
      </c>
      <c r="M25" s="28" t="s">
        <v>17</v>
      </c>
      <c r="N25" s="29" t="s">
        <v>11</v>
      </c>
      <c r="O25" s="28" t="s">
        <v>17</v>
      </c>
      <c r="P25" s="29" t="s">
        <v>11</v>
      </c>
      <c r="Q25" s="28" t="s">
        <v>17</v>
      </c>
      <c r="R25" s="29" t="s">
        <v>11</v>
      </c>
      <c r="S25" s="28" t="s">
        <v>17</v>
      </c>
      <c r="T25" s="29" t="s">
        <v>11</v>
      </c>
      <c r="U25" s="10"/>
      <c r="V25" s="10"/>
    </row>
    <row r="26" spans="2:25" ht="18" x14ac:dyDescent="0.35">
      <c r="B26" s="6" t="s">
        <v>18</v>
      </c>
      <c r="C26" s="34">
        <v>0.6</v>
      </c>
      <c r="D26" s="8"/>
      <c r="E26" s="34">
        <v>0.6</v>
      </c>
      <c r="F26" s="8"/>
      <c r="G26" s="34">
        <v>0.45</v>
      </c>
      <c r="H26" s="8"/>
      <c r="I26" s="34">
        <v>0.3</v>
      </c>
      <c r="J26" s="8"/>
      <c r="K26" s="34">
        <v>0.22</v>
      </c>
      <c r="L26" s="8"/>
      <c r="M26" s="34">
        <v>0.15</v>
      </c>
      <c r="N26" s="8"/>
      <c r="O26" s="34">
        <v>0.15</v>
      </c>
      <c r="P26" s="8"/>
      <c r="Q26" s="34">
        <v>0.15</v>
      </c>
      <c r="R26" s="8"/>
      <c r="S26" s="34">
        <v>0.15</v>
      </c>
      <c r="T26" s="8"/>
      <c r="U26" s="10"/>
      <c r="V26" s="10"/>
    </row>
    <row r="27" spans="2:25" ht="18" x14ac:dyDescent="0.35">
      <c r="B27" s="6" t="s">
        <v>19</v>
      </c>
      <c r="C27" s="34">
        <v>0.6</v>
      </c>
      <c r="D27" s="8"/>
      <c r="E27" s="34">
        <v>0.6</v>
      </c>
      <c r="F27" s="8"/>
      <c r="G27" s="34">
        <v>0.45</v>
      </c>
      <c r="H27" s="8"/>
      <c r="I27" s="34">
        <v>0.3</v>
      </c>
      <c r="J27" s="8"/>
      <c r="K27" s="34">
        <v>0.22</v>
      </c>
      <c r="L27" s="8"/>
      <c r="M27" s="34">
        <v>0.15</v>
      </c>
      <c r="N27" s="8"/>
      <c r="O27" s="34">
        <v>0.15</v>
      </c>
      <c r="P27" s="8"/>
      <c r="Q27" s="34">
        <v>0.15</v>
      </c>
      <c r="R27" s="8"/>
      <c r="S27" s="34">
        <v>0.15</v>
      </c>
      <c r="T27" s="8"/>
      <c r="U27" s="10"/>
      <c r="V27" s="10"/>
      <c r="X27" s="81"/>
      <c r="Y27" s="81"/>
    </row>
    <row r="28" spans="2:25" x14ac:dyDescent="0.25">
      <c r="B28" s="6" t="s">
        <v>26</v>
      </c>
      <c r="C28" s="187"/>
      <c r="D28" s="188">
        <f>6.943*0.000015*2</f>
        <v>2.0829E-4</v>
      </c>
      <c r="E28" s="187"/>
      <c r="F28" s="188">
        <f>6.943*0.000015*2</f>
        <v>2.0829E-4</v>
      </c>
      <c r="G28" s="187"/>
      <c r="H28" s="188">
        <f>6.943*0.000015*2</f>
        <v>2.0829E-4</v>
      </c>
      <c r="I28" s="187"/>
      <c r="J28" s="188">
        <f>6.943*0.000015*2</f>
        <v>2.0829E-4</v>
      </c>
      <c r="K28" s="187"/>
      <c r="L28" s="188">
        <f>6.943*0.000015*2</f>
        <v>2.0829E-4</v>
      </c>
      <c r="M28" s="187"/>
      <c r="N28" s="188">
        <f>6.943*0.000015*2</f>
        <v>2.0829E-4</v>
      </c>
      <c r="O28" s="187"/>
      <c r="P28" s="188">
        <f>6.943*0.000015*2</f>
        <v>2.0829E-4</v>
      </c>
      <c r="Q28" s="187"/>
      <c r="R28" s="188">
        <f>6.943*0.000015*2</f>
        <v>2.0829E-4</v>
      </c>
      <c r="S28" s="187"/>
      <c r="T28" s="188">
        <f>6.943*0.000015*2</f>
        <v>2.0829E-4</v>
      </c>
      <c r="U28" s="10"/>
      <c r="V28" s="10"/>
    </row>
    <row r="29" spans="2:25" x14ac:dyDescent="0.25">
      <c r="B29" s="6" t="s">
        <v>34</v>
      </c>
      <c r="C29" s="34">
        <f>0.95*5.6</f>
        <v>5.3199999999999994</v>
      </c>
      <c r="D29" s="8"/>
      <c r="E29" s="34">
        <f>0.95*5.6</f>
        <v>5.3199999999999994</v>
      </c>
      <c r="F29" s="8"/>
      <c r="G29" s="34">
        <f>0.95*5.6</f>
        <v>5.3199999999999994</v>
      </c>
      <c r="H29" s="8"/>
      <c r="I29" s="34">
        <f>0.95*5.6</f>
        <v>5.3199999999999994</v>
      </c>
      <c r="J29" s="8"/>
      <c r="K29" s="34">
        <f>0.95*4.9</f>
        <v>4.6550000000000002</v>
      </c>
      <c r="L29" s="8"/>
      <c r="M29" s="34">
        <f>4.9*0.95</f>
        <v>4.6550000000000002</v>
      </c>
      <c r="N29" s="8"/>
      <c r="O29" s="34">
        <f>4.8*0.95</f>
        <v>4.5599999999999996</v>
      </c>
      <c r="P29" s="8"/>
      <c r="Q29" s="34">
        <f>4.8*0.95</f>
        <v>4.5599999999999996</v>
      </c>
      <c r="R29" s="8"/>
      <c r="S29" s="34">
        <f>4.8*0.95</f>
        <v>4.5599999999999996</v>
      </c>
      <c r="T29" s="8"/>
      <c r="U29" s="10"/>
      <c r="V29" s="10"/>
    </row>
    <row r="30" spans="2:25" x14ac:dyDescent="0.25">
      <c r="B30" s="6" t="s">
        <v>21</v>
      </c>
      <c r="C30" s="34">
        <f>0.05*5.6</f>
        <v>0.27999999999999997</v>
      </c>
      <c r="D30" s="8"/>
      <c r="E30" s="34">
        <f>0.05*5.6</f>
        <v>0.27999999999999997</v>
      </c>
      <c r="F30" s="8"/>
      <c r="G30" s="34">
        <f>0.05*5.6</f>
        <v>0.27999999999999997</v>
      </c>
      <c r="H30" s="8"/>
      <c r="I30" s="34">
        <f>0.05*5.6</f>
        <v>0.27999999999999997</v>
      </c>
      <c r="J30" s="8"/>
      <c r="K30" s="34">
        <f>0.05*4.9</f>
        <v>0.24500000000000002</v>
      </c>
      <c r="L30" s="8"/>
      <c r="M30" s="34">
        <f>4.9*0.05</f>
        <v>0.24500000000000002</v>
      </c>
      <c r="N30" s="8"/>
      <c r="O30" s="34">
        <f>4.8*0.05</f>
        <v>0.24</v>
      </c>
      <c r="P30" s="8"/>
      <c r="Q30" s="34">
        <f>4.8*0.05</f>
        <v>0.24</v>
      </c>
      <c r="R30" s="8"/>
      <c r="S30" s="34">
        <f>4.8*0.05</f>
        <v>0.24</v>
      </c>
      <c r="T30" s="8"/>
      <c r="V30" s="10"/>
    </row>
    <row r="31" spans="2:25" x14ac:dyDescent="0.25">
      <c r="B31" s="6" t="s">
        <v>22</v>
      </c>
      <c r="C31" s="34">
        <v>6</v>
      </c>
      <c r="D31" s="8"/>
      <c r="E31" s="34">
        <v>4.9000000000000004</v>
      </c>
      <c r="F31" s="8"/>
      <c r="G31" s="34">
        <v>4.0999999999999996</v>
      </c>
      <c r="H31" s="8"/>
      <c r="I31" s="34">
        <v>3.7</v>
      </c>
      <c r="J31" s="8"/>
      <c r="K31" s="34">
        <v>3.7</v>
      </c>
      <c r="L31" s="8"/>
      <c r="M31" s="34">
        <v>2.6</v>
      </c>
      <c r="N31" s="8"/>
      <c r="O31" s="34">
        <v>2.6</v>
      </c>
      <c r="P31" s="8"/>
      <c r="Q31" s="34">
        <v>2.6</v>
      </c>
      <c r="R31" s="8"/>
      <c r="S31" s="34">
        <v>2.6</v>
      </c>
      <c r="T31" s="8"/>
      <c r="U31" s="10"/>
      <c r="X31" s="10"/>
      <c r="Y31" s="10"/>
    </row>
    <row r="32" spans="2:25" ht="16.5" customHeight="1" x14ac:dyDescent="0.25">
      <c r="B32" s="6" t="s">
        <v>23</v>
      </c>
      <c r="C32" s="16"/>
      <c r="D32" s="17">
        <f>'Tier 0'!$T$18</f>
        <v>5.3843040000000003E-4</v>
      </c>
      <c r="E32" s="16"/>
      <c r="F32" s="17">
        <f>'Tier 0'!$T$18</f>
        <v>5.3843040000000003E-4</v>
      </c>
      <c r="G32" s="16"/>
      <c r="H32" s="17">
        <f>'Tier 0'!$T$18</f>
        <v>5.3843040000000003E-4</v>
      </c>
      <c r="I32" s="16"/>
      <c r="J32" s="17">
        <f>'Tier 0'!$T$18</f>
        <v>5.3843040000000003E-4</v>
      </c>
      <c r="K32" s="16"/>
      <c r="L32" s="17">
        <f>'Tier 0'!$T$18</f>
        <v>5.3843040000000003E-4</v>
      </c>
      <c r="M32" s="16"/>
      <c r="N32" s="17">
        <f>'Tier 0'!$T$18</f>
        <v>5.3843040000000003E-4</v>
      </c>
      <c r="O32" s="16"/>
      <c r="P32" s="17">
        <f>'Tier 0'!T18</f>
        <v>5.3843040000000003E-4</v>
      </c>
      <c r="Q32" s="16"/>
      <c r="R32" s="17">
        <f>'Tier 0'!T27</f>
        <v>2.1878322E-4</v>
      </c>
      <c r="S32" s="16"/>
      <c r="T32" s="17">
        <f>'Tier 0'!T27</f>
        <v>2.1878322E-4</v>
      </c>
    </row>
    <row r="33" spans="3:25" x14ac:dyDescent="0.25">
      <c r="C33" s="6"/>
      <c r="D33" s="6"/>
      <c r="E33" s="6"/>
      <c r="F33" s="6"/>
      <c r="G33" s="6"/>
      <c r="H33" s="6"/>
      <c r="I33" s="6"/>
      <c r="J33" s="6"/>
      <c r="K33" s="6"/>
      <c r="L33" s="6"/>
      <c r="M33" s="6"/>
      <c r="N33" s="6"/>
      <c r="O33" s="6"/>
      <c r="P33" s="6"/>
      <c r="Q33" s="10"/>
    </row>
    <row r="34" spans="3:25" x14ac:dyDescent="0.25">
      <c r="C34" s="6"/>
      <c r="D34" s="6"/>
      <c r="E34" s="6"/>
      <c r="F34" s="6"/>
      <c r="G34" s="6"/>
      <c r="H34" s="6"/>
      <c r="I34" s="6"/>
      <c r="J34" s="6"/>
      <c r="K34" s="6"/>
      <c r="L34" s="6"/>
      <c r="M34" s="6"/>
      <c r="N34" s="6"/>
      <c r="O34" s="6"/>
      <c r="P34" s="6"/>
      <c r="X34" s="81"/>
      <c r="Y34" s="81"/>
    </row>
    <row r="35" spans="3:25" x14ac:dyDescent="0.25">
      <c r="C35" s="143"/>
      <c r="D35" s="143"/>
      <c r="E35" s="143"/>
      <c r="F35" s="143"/>
      <c r="G35" s="143"/>
      <c r="H35" s="143"/>
      <c r="I35" s="143"/>
      <c r="J35" s="143"/>
      <c r="K35" s="143"/>
      <c r="L35" s="143"/>
      <c r="M35" s="143"/>
      <c r="N35" s="143"/>
      <c r="O35" s="143"/>
      <c r="P35" s="143"/>
    </row>
    <row r="36" spans="3:25" x14ac:dyDescent="0.25">
      <c r="C36" s="146"/>
      <c r="E36" s="146"/>
      <c r="G36" s="146"/>
      <c r="I36" s="146"/>
      <c r="K36" s="146"/>
      <c r="M36" s="146"/>
      <c r="O36" s="146"/>
    </row>
    <row r="37" spans="3:25" x14ac:dyDescent="0.25">
      <c r="C37" s="146"/>
      <c r="E37" s="146"/>
      <c r="G37" s="146"/>
      <c r="I37" s="146"/>
      <c r="K37" s="146"/>
      <c r="M37" s="146"/>
      <c r="O37" s="146"/>
    </row>
    <row r="38" spans="3:25" x14ac:dyDescent="0.25">
      <c r="C38" s="189"/>
      <c r="D38" s="190"/>
      <c r="E38" s="189"/>
      <c r="F38" s="190"/>
      <c r="G38" s="189"/>
      <c r="H38" s="190"/>
      <c r="I38" s="189"/>
      <c r="J38" s="190"/>
      <c r="K38" s="189"/>
      <c r="L38" s="190"/>
      <c r="M38" s="189"/>
      <c r="N38" s="190"/>
      <c r="O38" s="189"/>
      <c r="P38" s="190"/>
      <c r="X38" s="10"/>
      <c r="Y38" s="10"/>
    </row>
    <row r="39" spans="3:25" x14ac:dyDescent="0.25">
      <c r="C39" s="146"/>
      <c r="E39" s="146"/>
      <c r="G39" s="146"/>
      <c r="I39" s="146"/>
      <c r="K39" s="146"/>
      <c r="M39" s="146"/>
      <c r="O39" s="146"/>
      <c r="X39" s="23"/>
      <c r="Y39" s="23"/>
    </row>
    <row r="40" spans="3:25" x14ac:dyDescent="0.25">
      <c r="C40" s="146"/>
      <c r="E40" s="146"/>
      <c r="G40" s="146"/>
      <c r="I40" s="146"/>
      <c r="K40" s="146"/>
      <c r="M40" s="146"/>
      <c r="O40" s="146"/>
      <c r="X40" s="24"/>
      <c r="Y40" s="24"/>
    </row>
    <row r="41" spans="3:25" x14ac:dyDescent="0.25">
      <c r="C41" s="146"/>
      <c r="E41" s="146"/>
      <c r="G41" s="146"/>
      <c r="I41" s="146"/>
      <c r="K41" s="146"/>
      <c r="M41" s="146"/>
      <c r="O41" s="146"/>
      <c r="X41" s="25"/>
      <c r="Y41" s="25"/>
    </row>
    <row r="42" spans="3:25" x14ac:dyDescent="0.25">
      <c r="C42" s="10"/>
      <c r="D42" s="10"/>
      <c r="E42" s="10"/>
      <c r="F42" s="10"/>
      <c r="G42" s="10"/>
      <c r="H42" s="10"/>
      <c r="I42" s="10"/>
      <c r="J42" s="10"/>
      <c r="K42" s="10"/>
      <c r="L42" s="10"/>
      <c r="M42" s="10"/>
      <c r="N42" s="10"/>
      <c r="O42" s="10"/>
      <c r="P42" s="10"/>
    </row>
    <row r="43" spans="3:25" x14ac:dyDescent="0.25">
      <c r="V43" s="22"/>
      <c r="W43" s="6"/>
    </row>
    <row r="44" spans="3:25" x14ac:dyDescent="0.25">
      <c r="V44" s="22"/>
      <c r="W44" s="6"/>
      <c r="X44" s="81"/>
      <c r="Y44" s="81"/>
    </row>
    <row r="45" spans="3:25" x14ac:dyDescent="0.25">
      <c r="V45" s="22"/>
      <c r="W45" s="6"/>
    </row>
    <row r="46" spans="3:25" x14ac:dyDescent="0.25">
      <c r="V46" s="22"/>
      <c r="W46" s="6"/>
    </row>
    <row r="47" spans="3:25" x14ac:dyDescent="0.25">
      <c r="V47" s="22"/>
      <c r="W47" s="6"/>
    </row>
    <row r="48" spans="3:25" x14ac:dyDescent="0.25">
      <c r="V48" s="22"/>
      <c r="W48" s="6"/>
      <c r="X48" s="10"/>
      <c r="Y48" s="10"/>
    </row>
    <row r="49" spans="22:25" x14ac:dyDescent="0.25">
      <c r="X49" s="23"/>
      <c r="Y49" s="23"/>
    </row>
    <row r="50" spans="22:25" x14ac:dyDescent="0.25">
      <c r="W50" s="6"/>
      <c r="X50" s="24"/>
      <c r="Y50" s="24"/>
    </row>
    <row r="51" spans="22:25" x14ac:dyDescent="0.25">
      <c r="X51" s="25"/>
      <c r="Y51" s="25"/>
    </row>
    <row r="52" spans="22:25" ht="80.25" customHeight="1" x14ac:dyDescent="0.25">
      <c r="V52" s="22"/>
      <c r="W52" s="6"/>
    </row>
    <row r="53" spans="22:25" x14ac:dyDescent="0.25">
      <c r="V53" s="22"/>
      <c r="W53" s="6"/>
    </row>
    <row r="54" spans="22:25" x14ac:dyDescent="0.25">
      <c r="V54" s="22"/>
      <c r="W54" s="6"/>
      <c r="X54" s="81"/>
      <c r="Y54" s="81"/>
    </row>
    <row r="55" spans="22:25" x14ac:dyDescent="0.25">
      <c r="V55" s="22"/>
      <c r="W55" s="6"/>
    </row>
    <row r="56" spans="22:25" x14ac:dyDescent="0.25">
      <c r="V56" s="22"/>
      <c r="W56" s="6"/>
    </row>
    <row r="57" spans="22:25" x14ac:dyDescent="0.25">
      <c r="V57" s="22"/>
      <c r="W57" s="6"/>
    </row>
    <row r="58" spans="22:25" x14ac:dyDescent="0.25">
      <c r="V58" s="22"/>
      <c r="W58" s="6"/>
      <c r="X58" s="10"/>
      <c r="Y58" s="10"/>
    </row>
    <row r="59" spans="22:25" x14ac:dyDescent="0.25">
      <c r="X59" s="23"/>
      <c r="Y59" s="23"/>
    </row>
    <row r="60" spans="22:25" x14ac:dyDescent="0.25">
      <c r="W60" s="6"/>
      <c r="X60" s="24"/>
      <c r="Y60" s="24"/>
    </row>
    <row r="61" spans="22:25" x14ac:dyDescent="0.25">
      <c r="X61" s="25"/>
      <c r="Y61" s="25"/>
    </row>
    <row r="62" spans="22:25" ht="80.25" customHeight="1" x14ac:dyDescent="0.25">
      <c r="V62" s="22"/>
      <c r="W62" s="6"/>
    </row>
    <row r="63" spans="22:25" x14ac:dyDescent="0.25">
      <c r="V63" s="22"/>
      <c r="W63" s="6"/>
    </row>
    <row r="64" spans="22:25" x14ac:dyDescent="0.25">
      <c r="V64" s="22"/>
      <c r="W64" s="6"/>
      <c r="X64" s="81"/>
      <c r="Y64" s="81"/>
    </row>
    <row r="65" spans="22:25" x14ac:dyDescent="0.25">
      <c r="V65" s="22"/>
      <c r="W65" s="6"/>
    </row>
    <row r="66" spans="22:25" x14ac:dyDescent="0.25">
      <c r="V66" s="22"/>
      <c r="W66" s="6"/>
    </row>
    <row r="67" spans="22:25" x14ac:dyDescent="0.25">
      <c r="V67" s="22"/>
      <c r="W67" s="6"/>
    </row>
    <row r="68" spans="22:25" x14ac:dyDescent="0.25">
      <c r="V68" s="22"/>
      <c r="W68" s="6"/>
      <c r="X68" s="10"/>
      <c r="Y68" s="10"/>
    </row>
    <row r="69" spans="22:25" x14ac:dyDescent="0.25">
      <c r="X69" s="23"/>
    </row>
    <row r="70" spans="22:25" x14ac:dyDescent="0.25">
      <c r="X70" s="25"/>
      <c r="Y70" s="25"/>
    </row>
    <row r="71" spans="22:25" ht="80.25" customHeight="1" x14ac:dyDescent="0.25">
      <c r="V71" s="22"/>
      <c r="W71" s="6"/>
    </row>
    <row r="72" spans="22:25" x14ac:dyDescent="0.25">
      <c r="V72" s="22"/>
      <c r="W72" s="6"/>
    </row>
    <row r="73" spans="22:25" x14ac:dyDescent="0.25">
      <c r="V73" s="22"/>
      <c r="W73" s="6"/>
      <c r="X73" s="81"/>
      <c r="Y73" s="81"/>
    </row>
    <row r="74" spans="22:25" x14ac:dyDescent="0.25">
      <c r="V74" s="22"/>
      <c r="W74" s="6"/>
    </row>
    <row r="75" spans="22:25" x14ac:dyDescent="0.25">
      <c r="V75" s="22"/>
      <c r="W75" s="6"/>
    </row>
    <row r="76" spans="22:25" x14ac:dyDescent="0.25">
      <c r="V76" s="22"/>
      <c r="W76" s="6"/>
    </row>
    <row r="77" spans="22:25" x14ac:dyDescent="0.25">
      <c r="V77" s="22"/>
      <c r="W77" s="6"/>
      <c r="X77" s="10"/>
      <c r="Y77" s="10"/>
    </row>
    <row r="78" spans="22:25" x14ac:dyDescent="0.25">
      <c r="V78" s="11"/>
      <c r="W78" s="6"/>
      <c r="X78" s="24"/>
      <c r="Y78" s="24"/>
    </row>
    <row r="79" spans="22:25" x14ac:dyDescent="0.25">
      <c r="V79" s="11"/>
      <c r="W79" s="6"/>
      <c r="X79" s="25"/>
      <c r="Y79" s="25"/>
    </row>
    <row r="80" spans="22:25" ht="42.75" customHeight="1" x14ac:dyDescent="0.25">
      <c r="V80" s="22"/>
      <c r="W80" s="6"/>
    </row>
    <row r="81" spans="22:25" x14ac:dyDescent="0.25">
      <c r="V81" s="22"/>
      <c r="W81" s="6"/>
    </row>
    <row r="82" spans="22:25" x14ac:dyDescent="0.25">
      <c r="V82" s="22"/>
      <c r="W82" s="6"/>
      <c r="X82" s="81"/>
      <c r="Y82" s="81"/>
    </row>
    <row r="83" spans="22:25" x14ac:dyDescent="0.25">
      <c r="V83" s="22"/>
      <c r="W83" s="6"/>
    </row>
    <row r="84" spans="22:25" x14ac:dyDescent="0.25">
      <c r="V84" s="22"/>
      <c r="W84" s="6"/>
    </row>
    <row r="85" spans="22:25" x14ac:dyDescent="0.25">
      <c r="V85" s="22"/>
      <c r="W85" s="6"/>
    </row>
    <row r="86" spans="22:25" x14ac:dyDescent="0.25">
      <c r="V86" s="22"/>
      <c r="W86" s="6"/>
      <c r="X86" s="10"/>
      <c r="Y86" s="10"/>
    </row>
  </sheetData>
  <sheetProtection algorithmName="SHA-512" hashValue="8EBL3F5rHOejQ2AWN0hOv8ofulhdW/MHRp8KMpwegpl04Qv9LddZS8+NZ3WAdj6psaupDXcd6fzWWsGiv+2Rjw==" saltValue="Vd42Y1tKd3KJqVTnYaN2tw==" spinCount="100000" sheet="1" objects="1" scenarios="1"/>
  <mergeCells count="30">
    <mergeCell ref="M14:N14"/>
    <mergeCell ref="O14:P14"/>
    <mergeCell ref="C14:D14"/>
    <mergeCell ref="E14:F14"/>
    <mergeCell ref="G14:H14"/>
    <mergeCell ref="I14:J14"/>
    <mergeCell ref="K14:L14"/>
    <mergeCell ref="M24:N24"/>
    <mergeCell ref="O24:P24"/>
    <mergeCell ref="C24:D24"/>
    <mergeCell ref="E24:F24"/>
    <mergeCell ref="G24:H24"/>
    <mergeCell ref="I24:J24"/>
    <mergeCell ref="K24:L24"/>
    <mergeCell ref="C23:T23"/>
    <mergeCell ref="Q24:R24"/>
    <mergeCell ref="S24:T24"/>
    <mergeCell ref="K2:L4"/>
    <mergeCell ref="C4:C5"/>
    <mergeCell ref="D4:D5"/>
    <mergeCell ref="E4:E5"/>
    <mergeCell ref="F4:F5"/>
    <mergeCell ref="G4:G5"/>
    <mergeCell ref="H4:H5"/>
    <mergeCell ref="N8:O8"/>
    <mergeCell ref="J2:J5"/>
    <mergeCell ref="N3:R3"/>
    <mergeCell ref="N4:Q4"/>
    <mergeCell ref="N5:Q5"/>
    <mergeCell ref="N6:Q6"/>
  </mergeCells>
  <phoneticPr fontId="9" type="noConversion"/>
  <pageMargins left="0.7" right="0.7" top="0.75" bottom="0.75" header="0.3" footer="0.3"/>
  <ignoredErrors>
    <ignoredError sqref="G18:H21 O18:P21" evalError="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A64E8-4368-42E1-9164-4B602CA0343E}">
  <sheetPr>
    <tabColor rgb="FF77379F"/>
    <pageSetUpPr autoPageBreaks="0"/>
  </sheetPr>
  <dimension ref="B1:Y91"/>
  <sheetViews>
    <sheetView workbookViewId="0">
      <selection activeCell="G23" sqref="G23"/>
    </sheetView>
  </sheetViews>
  <sheetFormatPr defaultRowHeight="15" x14ac:dyDescent="0.25"/>
  <cols>
    <col min="3" max="3" width="12.28515625" customWidth="1"/>
    <col min="4" max="4" width="13" customWidth="1"/>
    <col min="5" max="5" width="11.5703125" customWidth="1"/>
    <col min="6" max="6" width="12" customWidth="1"/>
    <col min="7" max="7" width="12.140625" customWidth="1"/>
    <col min="8" max="8" width="9.7109375" customWidth="1"/>
    <col min="15" max="15" width="10.140625" customWidth="1"/>
    <col min="16" max="16" width="10.28515625" customWidth="1"/>
    <col min="17" max="17" width="9.5703125" customWidth="1"/>
    <col min="18" max="18" width="9" customWidth="1"/>
    <col min="19" max="19" width="12.42578125" customWidth="1"/>
    <col min="20" max="20" width="11.5703125" customWidth="1"/>
    <col min="21" max="21" width="8.42578125" customWidth="1"/>
    <col min="22" max="22" width="9.5703125" customWidth="1"/>
    <col min="23" max="23" width="10.28515625" customWidth="1"/>
    <col min="25" max="25" width="7.42578125" customWidth="1"/>
  </cols>
  <sheetData>
    <row r="1" spans="2:25" ht="15.75" thickBot="1" x14ac:dyDescent="0.3"/>
    <row r="2" spans="2:25" ht="15" customHeight="1" x14ac:dyDescent="0.25">
      <c r="J2" s="441" t="s">
        <v>9</v>
      </c>
      <c r="K2" s="444" t="s">
        <v>10</v>
      </c>
      <c r="L2" s="445"/>
      <c r="P2" s="6"/>
      <c r="Q2" s="6"/>
    </row>
    <row r="3" spans="2:25" ht="15" customHeight="1" thickBot="1" x14ac:dyDescent="0.3">
      <c r="J3" s="442"/>
      <c r="K3" s="446"/>
      <c r="L3" s="447"/>
      <c r="N3" s="418" t="s">
        <v>82</v>
      </c>
      <c r="O3" s="420"/>
      <c r="P3" s="420"/>
      <c r="Q3" s="420"/>
      <c r="R3" s="419"/>
    </row>
    <row r="4" spans="2:25" ht="15.75" thickBot="1" x14ac:dyDescent="0.3">
      <c r="C4" s="407" t="s">
        <v>16</v>
      </c>
      <c r="D4" s="407" t="s">
        <v>130</v>
      </c>
      <c r="E4" s="407" t="s">
        <v>15</v>
      </c>
      <c r="F4" s="407" t="s">
        <v>131</v>
      </c>
      <c r="G4" s="407" t="s">
        <v>65</v>
      </c>
      <c r="H4" s="407" t="s">
        <v>64</v>
      </c>
      <c r="J4" s="442"/>
      <c r="K4" s="448"/>
      <c r="L4" s="449"/>
      <c r="N4" s="7" t="s">
        <v>30</v>
      </c>
      <c r="R4" s="167" t="s">
        <v>29</v>
      </c>
    </row>
    <row r="5" spans="2:25" ht="18" customHeight="1" thickBot="1" x14ac:dyDescent="0.3">
      <c r="C5" s="408"/>
      <c r="D5" s="408"/>
      <c r="E5" s="408"/>
      <c r="F5" s="408"/>
      <c r="G5" s="408"/>
      <c r="H5" s="408"/>
      <c r="J5" s="443"/>
      <c r="K5" s="205" t="s">
        <v>31</v>
      </c>
      <c r="L5" s="205" t="s">
        <v>12</v>
      </c>
      <c r="N5" s="7" t="s">
        <v>33</v>
      </c>
      <c r="R5" s="168" t="s">
        <v>32</v>
      </c>
    </row>
    <row r="6" spans="2:25" ht="18" customHeight="1" thickBot="1" x14ac:dyDescent="0.4">
      <c r="B6" s="43" t="s">
        <v>39</v>
      </c>
      <c r="C6" s="59" t="e" cm="1" vm="1">
        <f t="array" ref="C6">_xlfn._xlws.FILTER(Emissions!E15:J29,((Emissions!G15:G29="Tier 3")))</f>
        <v>#VALUE!</v>
      </c>
      <c r="D6" s="51"/>
      <c r="E6" s="100"/>
      <c r="F6" s="51"/>
      <c r="G6" s="51"/>
      <c r="H6" s="57"/>
      <c r="J6" s="30" t="s">
        <v>18</v>
      </c>
      <c r="K6" s="197">
        <f>SUMIF(C16:C21, "&gt;0")</f>
        <v>0</v>
      </c>
      <c r="L6" s="198">
        <f>SUMIF(D16:D21, "&gt;0")</f>
        <v>0</v>
      </c>
      <c r="N6" s="79" t="s">
        <v>121</v>
      </c>
      <c r="O6" s="80"/>
      <c r="P6" s="18"/>
      <c r="Q6" s="18"/>
      <c r="R6" s="166" t="s">
        <v>29</v>
      </c>
      <c r="S6" s="11"/>
      <c r="U6" s="139"/>
      <c r="V6" s="36"/>
      <c r="X6" s="25"/>
      <c r="Y6" s="25"/>
    </row>
    <row r="7" spans="2:25" ht="18" customHeight="1" thickBot="1" x14ac:dyDescent="0.4">
      <c r="B7" s="43" t="s">
        <v>40</v>
      </c>
      <c r="C7" s="60"/>
      <c r="D7" s="53"/>
      <c r="E7" s="101"/>
      <c r="F7" s="53"/>
      <c r="G7" s="53"/>
      <c r="H7" s="58"/>
      <c r="J7" s="31" t="s">
        <v>19</v>
      </c>
      <c r="K7" s="199">
        <f>SUMIF(E16:E21, "&gt;0")</f>
        <v>0</v>
      </c>
      <c r="L7" s="200">
        <f>SUMIF(F16:F21, "&gt;0")</f>
        <v>0</v>
      </c>
      <c r="N7" s="22"/>
      <c r="O7" s="6"/>
      <c r="P7" s="81"/>
      <c r="Q7" s="81"/>
    </row>
    <row r="8" spans="2:25" ht="18" customHeight="1" thickBot="1" x14ac:dyDescent="0.3">
      <c r="B8" s="43" t="s">
        <v>41</v>
      </c>
      <c r="C8" s="60"/>
      <c r="D8" s="53"/>
      <c r="E8" s="101"/>
      <c r="F8" s="53"/>
      <c r="G8" s="53"/>
      <c r="H8" s="54"/>
      <c r="J8" s="31" t="s">
        <v>26</v>
      </c>
      <c r="K8" s="176">
        <f>SUMIF(G16:G21, "&gt;0")</f>
        <v>0</v>
      </c>
      <c r="L8" s="177">
        <f>SUMIF(H16:H21, "&gt;0")</f>
        <v>0</v>
      </c>
      <c r="N8" s="418" t="s">
        <v>44</v>
      </c>
      <c r="O8" s="419"/>
      <c r="U8" s="10"/>
      <c r="V8" s="10"/>
    </row>
    <row r="9" spans="2:25" ht="18" customHeight="1" thickBot="1" x14ac:dyDescent="0.3">
      <c r="B9" s="43" t="s">
        <v>112</v>
      </c>
      <c r="C9" s="192"/>
      <c r="D9" s="53"/>
      <c r="E9" s="223"/>
      <c r="F9" s="193"/>
      <c r="G9" s="53"/>
      <c r="H9" s="58"/>
      <c r="J9" s="31" t="s">
        <v>20</v>
      </c>
      <c r="K9" s="199">
        <f>SUMIF(I16:I21, "&gt;0")</f>
        <v>0</v>
      </c>
      <c r="L9" s="200">
        <f>SUMIF(J16:J21, "&gt;0")</f>
        <v>0</v>
      </c>
      <c r="N9" s="44">
        <v>2000</v>
      </c>
      <c r="O9" s="167" t="s">
        <v>27</v>
      </c>
      <c r="U9" s="10"/>
      <c r="V9" s="10"/>
      <c r="X9" s="81"/>
      <c r="Y9" s="81"/>
    </row>
    <row r="10" spans="2:25" ht="18" customHeight="1" thickBot="1" x14ac:dyDescent="0.3">
      <c r="B10" s="43" t="s">
        <v>113</v>
      </c>
      <c r="C10" s="192"/>
      <c r="D10" s="53"/>
      <c r="E10" s="223"/>
      <c r="F10" s="193"/>
      <c r="G10" s="53"/>
      <c r="H10" s="58"/>
      <c r="J10" s="31" t="s">
        <v>21</v>
      </c>
      <c r="K10" s="199">
        <f>SUMIF(K16:K21, "&gt;0")</f>
        <v>0</v>
      </c>
      <c r="L10" s="200">
        <f>SUMIF(L16:L21, "&gt;0")</f>
        <v>0</v>
      </c>
      <c r="N10" s="44">
        <v>453.59199999999998</v>
      </c>
      <c r="O10" s="168" t="s">
        <v>28</v>
      </c>
    </row>
    <row r="11" spans="2:25" ht="18" customHeight="1" thickBot="1" x14ac:dyDescent="0.3">
      <c r="B11" s="43" t="s">
        <v>114</v>
      </c>
      <c r="C11" s="61"/>
      <c r="D11" s="55"/>
      <c r="E11" s="102"/>
      <c r="F11" s="55"/>
      <c r="G11" s="55"/>
      <c r="H11" s="56"/>
      <c r="J11" s="31" t="s">
        <v>22</v>
      </c>
      <c r="K11" s="199">
        <f>SUMIF(M16:M21, "&gt;0")</f>
        <v>0</v>
      </c>
      <c r="L11" s="200">
        <f>SUMIF(N16:N21, "&gt;0")</f>
        <v>0</v>
      </c>
      <c r="N11" s="45">
        <v>139000</v>
      </c>
      <c r="O11" s="166" t="s">
        <v>81</v>
      </c>
      <c r="P11" s="10"/>
      <c r="Q11" s="10"/>
      <c r="U11" s="10"/>
      <c r="V11" s="10"/>
    </row>
    <row r="12" spans="2:25" ht="15.75" thickBot="1" x14ac:dyDescent="0.3">
      <c r="C12" s="37"/>
      <c r="F12" s="37"/>
      <c r="J12" s="32" t="s">
        <v>23</v>
      </c>
      <c r="K12" s="178">
        <f>SUMIF(O16:O21, "&gt;0")</f>
        <v>0</v>
      </c>
      <c r="L12" s="179">
        <f>SUMIF(P16:P21, "&gt;0")</f>
        <v>0</v>
      </c>
      <c r="O12" s="11"/>
      <c r="P12" s="10"/>
      <c r="Q12" s="10"/>
      <c r="T12" s="11"/>
      <c r="U12" s="10"/>
      <c r="V12" s="10"/>
    </row>
    <row r="13" spans="2:25" x14ac:dyDescent="0.25">
      <c r="B13" s="21"/>
      <c r="C13" s="21"/>
      <c r="E13" s="11"/>
      <c r="F13" s="11"/>
      <c r="M13" s="6"/>
      <c r="O13" s="11"/>
      <c r="P13" s="12"/>
      <c r="Q13" s="25"/>
      <c r="U13" s="10"/>
      <c r="V13" s="10"/>
      <c r="X13" s="10"/>
      <c r="Y13" s="10"/>
    </row>
    <row r="14" spans="2:25" x14ac:dyDescent="0.25">
      <c r="C14" s="418" t="s">
        <v>24</v>
      </c>
      <c r="D14" s="419"/>
      <c r="E14" s="418" t="s">
        <v>25</v>
      </c>
      <c r="F14" s="419"/>
      <c r="G14" s="418" t="s">
        <v>26</v>
      </c>
      <c r="H14" s="419"/>
      <c r="I14" s="418" t="s">
        <v>20</v>
      </c>
      <c r="J14" s="419"/>
      <c r="K14" s="418" t="s">
        <v>21</v>
      </c>
      <c r="L14" s="419"/>
      <c r="M14" s="418" t="s">
        <v>22</v>
      </c>
      <c r="N14" s="419"/>
      <c r="O14" s="418" t="s">
        <v>23</v>
      </c>
      <c r="P14" s="419"/>
      <c r="T14" s="11"/>
      <c r="U14" s="10"/>
      <c r="V14" s="10"/>
      <c r="X14" s="23"/>
      <c r="Y14" s="23"/>
    </row>
    <row r="15" spans="2:25" x14ac:dyDescent="0.25">
      <c r="C15" s="147" t="s">
        <v>29</v>
      </c>
      <c r="D15" s="144" t="s">
        <v>32</v>
      </c>
      <c r="E15" s="28" t="s">
        <v>29</v>
      </c>
      <c r="F15" s="29" t="s">
        <v>32</v>
      </c>
      <c r="G15" s="28" t="s">
        <v>29</v>
      </c>
      <c r="H15" s="29" t="s">
        <v>32</v>
      </c>
      <c r="I15" s="28" t="s">
        <v>29</v>
      </c>
      <c r="J15" s="29" t="s">
        <v>32</v>
      </c>
      <c r="K15" s="28" t="s">
        <v>29</v>
      </c>
      <c r="L15" s="29" t="s">
        <v>32</v>
      </c>
      <c r="M15" s="28" t="s">
        <v>29</v>
      </c>
      <c r="N15" s="29" t="s">
        <v>32</v>
      </c>
      <c r="O15" s="145" t="s">
        <v>29</v>
      </c>
      <c r="P15" s="29" t="s">
        <v>32</v>
      </c>
      <c r="T15" s="11"/>
      <c r="U15" s="10"/>
      <c r="V15" s="10"/>
      <c r="X15" s="24"/>
      <c r="Y15" s="24"/>
    </row>
    <row r="16" spans="2:25" ht="18" customHeight="1" x14ac:dyDescent="0.25">
      <c r="B16" s="33" t="s">
        <v>88</v>
      </c>
      <c r="C16" s="207" t="str">
        <f t="shared" ref="C16:C21" si="0">IF(AND($D6&gt;=50,$D6&lt;100),$C$26*$D6/$N$10,IF(AND($D6&gt;=100,$D6&lt;175),$E$26*$D6/$N$10,IF(AND($D6&gt;=175,$D6&lt;600),$G$26*$D6/$N$10,IF(AND($D6&gt;=600,$D6&lt;750),$I$26*$D6/$N$10,""))))</f>
        <v/>
      </c>
      <c r="D16" s="181" t="e">
        <f>($C16*$G6)/$N$9</f>
        <v>#VALUE!</v>
      </c>
      <c r="E16" s="207" t="str">
        <f>$C16</f>
        <v/>
      </c>
      <c r="F16" s="181" t="e">
        <f>$D16</f>
        <v>#VALUE!</v>
      </c>
      <c r="G16" s="183" t="e">
        <f t="shared" ref="G16:G21" si="1">($F6/$G6)*$D$28</f>
        <v>#DIV/0!</v>
      </c>
      <c r="H16" s="184" t="e">
        <f t="shared" ref="H16:H21" si="2">($G16*$G6)/$N$9</f>
        <v>#DIV/0!</v>
      </c>
      <c r="I16" s="207" t="str">
        <f t="shared" ref="I16:I21" si="3">IF(AND($D6&gt;=50,$D6&lt;100),$C$29*$D6/$N$10,IF(AND($D6&gt;=100,$D6&lt;175),$E$29*$D6/$N$10,IF(AND($D6&gt;=175,$D6&lt;600),$G$29*$D6/$N$10,IF(AND($D6&gt;=600,$D6&lt;750),$I$29*$D6/$N$10,""))))</f>
        <v/>
      </c>
      <c r="J16" s="181" t="e">
        <f>($I16*$G6)/$N$9</f>
        <v>#VALUE!</v>
      </c>
      <c r="K16" s="207" t="str">
        <f t="shared" ref="K16:K21" si="4">IF(AND($D6&gt;=50,$D6&lt;100),$C$30*$D6/$N$10,IF(AND($D6&gt;=100,$D6&lt;175),$E$30*$D6/$N$10,IF(AND($D6&gt;=175,$D6&lt;600),$G$30*$D6/$N$10,IF(AND($D6&gt;=600,$D6&lt;750),$I$30*$D6/$N$10,""))))</f>
        <v/>
      </c>
      <c r="L16" s="181" t="e">
        <f t="shared" ref="L16:L21" si="5">($K16*$G6)/$N$9</f>
        <v>#VALUE!</v>
      </c>
      <c r="M16" s="207" t="str">
        <f>IF(AND($D6&gt;=50,$D6&lt;100),$C$31*$D6/$N$10,IF(AND($D6&gt;=100,$D6&lt;175),$E$31*$D6/$N$10,IF(AND($D6&gt;=175,$D6&lt;600),$G$31*$D6/$N$10,IF(AND($D6&gt;=600,$D6&lt;750),$I$31*$D6/$N$10,""))))</f>
        <v/>
      </c>
      <c r="N16" s="181" t="e">
        <f>($M16*$G6)/$N$9</f>
        <v>#VALUE!</v>
      </c>
      <c r="O16" s="215" t="e">
        <f>IF($D6&lt;=600,($F6/$G6)*$H$32,($F6/$G6)*$J$32)</f>
        <v>#DIV/0!</v>
      </c>
      <c r="P16" s="185" t="e">
        <f>($O16*$G6)/$N$9</f>
        <v>#DIV/0!</v>
      </c>
      <c r="Q16" s="81"/>
      <c r="U16" s="10"/>
      <c r="X16" s="25"/>
      <c r="Y16" s="25"/>
    </row>
    <row r="17" spans="2:25" x14ac:dyDescent="0.25">
      <c r="B17" s="33" t="s">
        <v>42</v>
      </c>
      <c r="C17" s="208" t="str">
        <f t="shared" si="0"/>
        <v/>
      </c>
      <c r="D17" s="182" t="e">
        <f t="shared" ref="D17:D21" si="6">($C17*$G7)/$N$9</f>
        <v>#VALUE!</v>
      </c>
      <c r="E17" s="208" t="str">
        <f t="shared" ref="E17:E21" si="7">$C17</f>
        <v/>
      </c>
      <c r="F17" s="182" t="e">
        <f t="shared" ref="F17:F21" si="8">$D17</f>
        <v>#VALUE!</v>
      </c>
      <c r="G17" s="158" t="e">
        <f t="shared" si="1"/>
        <v>#DIV/0!</v>
      </c>
      <c r="H17" s="159" t="e">
        <f t="shared" si="2"/>
        <v>#DIV/0!</v>
      </c>
      <c r="I17" s="208" t="str">
        <f t="shared" si="3"/>
        <v/>
      </c>
      <c r="J17" s="182" t="e">
        <f t="shared" ref="J17:J21" si="9">($I17*$G7)/$N$9</f>
        <v>#VALUE!</v>
      </c>
      <c r="K17" s="208" t="str">
        <f t="shared" si="4"/>
        <v/>
      </c>
      <c r="L17" s="182" t="e">
        <f t="shared" si="5"/>
        <v>#VALUE!</v>
      </c>
      <c r="M17" s="208" t="str">
        <f t="shared" ref="M17:M21" si="10">IF(AND($D7&gt;=50,$D7&lt;100),$C$31*$D7/$N$10,IF(AND($D7&gt;=100,$D7&lt;175),$E$31*$D7/$N$10,IF(AND($D7&gt;=175,$D7&lt;600),$G$31*$D7/$N$10,IF(AND($D7&gt;=600,$D7&lt;750),$I$31*$D7/$N$10,""))))</f>
        <v/>
      </c>
      <c r="N17" s="182" t="e">
        <f t="shared" ref="N17:N21" si="11">($M17*$G7)/$N$9</f>
        <v>#VALUE!</v>
      </c>
      <c r="O17" s="14" t="e">
        <f t="shared" ref="O17:O21" si="12">IF($D7&lt;=600,($F7/$G7)*$H$32,($F7/$G7)*$J$32)</f>
        <v>#DIV/0!</v>
      </c>
      <c r="P17" s="186" t="e">
        <f t="shared" ref="P17:P21" si="13">($O17*$G7)/$N$9</f>
        <v>#DIV/0!</v>
      </c>
    </row>
    <row r="18" spans="2:25" x14ac:dyDescent="0.25">
      <c r="B18" s="33" t="s">
        <v>43</v>
      </c>
      <c r="C18" s="208" t="str">
        <f t="shared" si="0"/>
        <v/>
      </c>
      <c r="D18" s="182" t="e">
        <f t="shared" si="6"/>
        <v>#VALUE!</v>
      </c>
      <c r="E18" s="208" t="str">
        <f t="shared" si="7"/>
        <v/>
      </c>
      <c r="F18" s="182" t="e">
        <f t="shared" si="8"/>
        <v>#VALUE!</v>
      </c>
      <c r="G18" s="158" t="e">
        <f t="shared" si="1"/>
        <v>#DIV/0!</v>
      </c>
      <c r="H18" s="159" t="e">
        <f t="shared" si="2"/>
        <v>#DIV/0!</v>
      </c>
      <c r="I18" s="208" t="str">
        <f t="shared" si="3"/>
        <v/>
      </c>
      <c r="J18" s="182" t="e">
        <f t="shared" si="9"/>
        <v>#VALUE!</v>
      </c>
      <c r="K18" s="208" t="str">
        <f t="shared" si="4"/>
        <v/>
      </c>
      <c r="L18" s="182" t="e">
        <f t="shared" si="5"/>
        <v>#VALUE!</v>
      </c>
      <c r="M18" s="208" t="str">
        <f t="shared" si="10"/>
        <v/>
      </c>
      <c r="N18" s="182" t="e">
        <f t="shared" si="11"/>
        <v>#VALUE!</v>
      </c>
      <c r="O18" s="14" t="e">
        <f t="shared" si="12"/>
        <v>#DIV/0!</v>
      </c>
      <c r="P18" s="186" t="e">
        <f t="shared" si="13"/>
        <v>#DIV/0!</v>
      </c>
    </row>
    <row r="19" spans="2:25" x14ac:dyDescent="0.25">
      <c r="B19" s="151" t="s">
        <v>109</v>
      </c>
      <c r="C19" s="208" t="str">
        <f>IF(AND($D9&gt;=50,$D9&lt;100),$C$26*$D9/$N$10,IF(AND($D9&gt;=100,$D9&lt;175),$E$26*$D9/$N$10,IF(AND($D9&gt;=175,$D9&lt;600),$G$26*$D9/$N$10,IF(AND($D9&gt;=600,$D9&lt;750),$I$26*$D9/$N$10,""))))</f>
        <v/>
      </c>
      <c r="D19" s="182" t="e">
        <f t="shared" si="6"/>
        <v>#VALUE!</v>
      </c>
      <c r="E19" s="208" t="str">
        <f t="shared" si="7"/>
        <v/>
      </c>
      <c r="F19" s="182" t="e">
        <f t="shared" si="8"/>
        <v>#VALUE!</v>
      </c>
      <c r="G19" s="158" t="e">
        <f t="shared" si="1"/>
        <v>#DIV/0!</v>
      </c>
      <c r="H19" s="148" t="e">
        <f t="shared" si="2"/>
        <v>#DIV/0!</v>
      </c>
      <c r="I19" s="208" t="str">
        <f t="shared" si="3"/>
        <v/>
      </c>
      <c r="J19" s="182" t="e">
        <f t="shared" si="9"/>
        <v>#VALUE!</v>
      </c>
      <c r="K19" s="208" t="str">
        <f t="shared" si="4"/>
        <v/>
      </c>
      <c r="L19" s="182" t="e">
        <f t="shared" si="5"/>
        <v>#VALUE!</v>
      </c>
      <c r="M19" s="208" t="str">
        <f t="shared" si="10"/>
        <v/>
      </c>
      <c r="N19" s="182" t="e">
        <f t="shared" si="11"/>
        <v>#VALUE!</v>
      </c>
      <c r="O19" s="14" t="e">
        <f t="shared" si="12"/>
        <v>#DIV/0!</v>
      </c>
      <c r="P19" s="186" t="e">
        <f t="shared" si="13"/>
        <v>#DIV/0!</v>
      </c>
      <c r="X19" s="81"/>
      <c r="Y19" s="81"/>
    </row>
    <row r="20" spans="2:25" x14ac:dyDescent="0.25">
      <c r="B20" s="151" t="s">
        <v>110</v>
      </c>
      <c r="C20" s="208" t="str">
        <f t="shared" si="0"/>
        <v/>
      </c>
      <c r="D20" s="182" t="e">
        <f t="shared" si="6"/>
        <v>#VALUE!</v>
      </c>
      <c r="E20" s="208" t="str">
        <f t="shared" si="7"/>
        <v/>
      </c>
      <c r="F20" s="182" t="e">
        <f t="shared" si="8"/>
        <v>#VALUE!</v>
      </c>
      <c r="G20" s="158" t="e">
        <f t="shared" si="1"/>
        <v>#DIV/0!</v>
      </c>
      <c r="H20" s="148" t="e">
        <f t="shared" si="2"/>
        <v>#DIV/0!</v>
      </c>
      <c r="I20" s="208" t="str">
        <f t="shared" si="3"/>
        <v/>
      </c>
      <c r="J20" s="182" t="e">
        <f t="shared" si="9"/>
        <v>#VALUE!</v>
      </c>
      <c r="K20" s="208" t="str">
        <f t="shared" si="4"/>
        <v/>
      </c>
      <c r="L20" s="182" t="e">
        <f t="shared" si="5"/>
        <v>#VALUE!</v>
      </c>
      <c r="M20" s="208" t="str">
        <f t="shared" si="10"/>
        <v/>
      </c>
      <c r="N20" s="182" t="e">
        <f t="shared" si="11"/>
        <v>#VALUE!</v>
      </c>
      <c r="O20" s="14" t="e">
        <f t="shared" si="12"/>
        <v>#DIV/0!</v>
      </c>
      <c r="P20" s="186" t="e">
        <f t="shared" si="13"/>
        <v>#DIV/0!</v>
      </c>
    </row>
    <row r="21" spans="2:25" x14ac:dyDescent="0.25">
      <c r="B21" s="203" t="s">
        <v>111</v>
      </c>
      <c r="C21" s="214" t="str">
        <f t="shared" si="0"/>
        <v/>
      </c>
      <c r="D21" s="194" t="e">
        <f t="shared" si="6"/>
        <v>#VALUE!</v>
      </c>
      <c r="E21" s="214" t="str">
        <f t="shared" si="7"/>
        <v/>
      </c>
      <c r="F21" s="194" t="e">
        <f t="shared" si="8"/>
        <v>#VALUE!</v>
      </c>
      <c r="G21" s="160" t="e">
        <f t="shared" si="1"/>
        <v>#DIV/0!</v>
      </c>
      <c r="H21" s="171" t="e">
        <f t="shared" si="2"/>
        <v>#DIV/0!</v>
      </c>
      <c r="I21" s="214" t="str">
        <f t="shared" si="3"/>
        <v/>
      </c>
      <c r="J21" s="194" t="e">
        <f t="shared" si="9"/>
        <v>#VALUE!</v>
      </c>
      <c r="K21" s="214" t="str">
        <f t="shared" si="4"/>
        <v/>
      </c>
      <c r="L21" s="194" t="e">
        <f t="shared" si="5"/>
        <v>#VALUE!</v>
      </c>
      <c r="M21" s="214" t="str">
        <f t="shared" si="10"/>
        <v/>
      </c>
      <c r="N21" s="194" t="e">
        <f t="shared" si="11"/>
        <v>#VALUE!</v>
      </c>
      <c r="O21" s="16" t="e">
        <f t="shared" si="12"/>
        <v>#DIV/0!</v>
      </c>
      <c r="P21" s="196" t="e">
        <f t="shared" si="13"/>
        <v>#DIV/0!</v>
      </c>
    </row>
    <row r="22" spans="2:25" x14ac:dyDescent="0.25">
      <c r="B22" s="21"/>
      <c r="C22" s="213"/>
      <c r="E22" s="11"/>
      <c r="F22" s="11"/>
      <c r="O22" s="11"/>
      <c r="P22" s="209"/>
      <c r="Q22" s="210"/>
      <c r="V22" s="22"/>
      <c r="W22" s="6"/>
    </row>
    <row r="23" spans="2:25" x14ac:dyDescent="0.25">
      <c r="C23" s="418" t="s">
        <v>136</v>
      </c>
      <c r="D23" s="420"/>
      <c r="E23" s="420"/>
      <c r="F23" s="420"/>
      <c r="G23" s="420"/>
      <c r="H23" s="420"/>
      <c r="I23" s="420"/>
      <c r="J23" s="419"/>
      <c r="K23" s="6"/>
      <c r="L23" s="6"/>
      <c r="M23" s="6"/>
      <c r="N23" s="6"/>
      <c r="O23" s="6"/>
      <c r="P23" s="6"/>
      <c r="Q23" s="6"/>
      <c r="R23" s="6"/>
      <c r="S23" s="6"/>
      <c r="T23" s="6"/>
      <c r="V23" s="22"/>
      <c r="W23" s="6"/>
      <c r="X23" s="10"/>
      <c r="Y23" s="10"/>
    </row>
    <row r="24" spans="2:25" x14ac:dyDescent="0.25">
      <c r="C24" s="429" t="s">
        <v>125</v>
      </c>
      <c r="D24" s="430"/>
      <c r="E24" s="429" t="s">
        <v>126</v>
      </c>
      <c r="F24" s="430"/>
      <c r="G24" s="429" t="s">
        <v>137</v>
      </c>
      <c r="H24" s="430"/>
      <c r="I24" s="429" t="s">
        <v>128</v>
      </c>
      <c r="J24" s="430"/>
      <c r="S24" s="6"/>
      <c r="T24" s="6"/>
      <c r="X24" s="23"/>
      <c r="Y24" s="23"/>
    </row>
    <row r="25" spans="2:25" x14ac:dyDescent="0.25">
      <c r="C25" s="28" t="s">
        <v>17</v>
      </c>
      <c r="D25" s="29" t="s">
        <v>11</v>
      </c>
      <c r="E25" s="28" t="s">
        <v>17</v>
      </c>
      <c r="F25" s="29" t="s">
        <v>11</v>
      </c>
      <c r="G25" s="28" t="s">
        <v>17</v>
      </c>
      <c r="H25" s="29" t="s">
        <v>11</v>
      </c>
      <c r="I25" s="28" t="s">
        <v>17</v>
      </c>
      <c r="J25" s="29" t="s">
        <v>11</v>
      </c>
      <c r="S25" s="143"/>
      <c r="T25" s="143"/>
      <c r="W25" s="6"/>
      <c r="X25" s="24"/>
      <c r="Y25" s="24"/>
    </row>
    <row r="26" spans="2:25" ht="18" x14ac:dyDescent="0.35">
      <c r="B26" s="6" t="s">
        <v>18</v>
      </c>
      <c r="C26" s="34">
        <v>0.3</v>
      </c>
      <c r="D26" s="8"/>
      <c r="E26" s="34">
        <v>0.22</v>
      </c>
      <c r="F26" s="8"/>
      <c r="G26" s="34">
        <v>0.15</v>
      </c>
      <c r="H26" s="8"/>
      <c r="I26" s="34">
        <v>0.15</v>
      </c>
      <c r="J26" s="8"/>
      <c r="S26" s="146"/>
      <c r="X26" s="25"/>
      <c r="Y26" s="25"/>
    </row>
    <row r="27" spans="2:25" ht="18" x14ac:dyDescent="0.35">
      <c r="B27" s="6" t="s">
        <v>19</v>
      </c>
      <c r="C27" s="34">
        <v>0.3</v>
      </c>
      <c r="D27" s="8"/>
      <c r="E27" s="34">
        <v>0.22</v>
      </c>
      <c r="F27" s="8"/>
      <c r="G27" s="34">
        <v>0.15</v>
      </c>
      <c r="H27" s="8"/>
      <c r="I27" s="34">
        <v>0.15</v>
      </c>
      <c r="J27" s="8"/>
      <c r="S27" s="146"/>
      <c r="V27" s="22"/>
      <c r="W27" s="6"/>
    </row>
    <row r="28" spans="2:25" ht="18" customHeight="1" x14ac:dyDescent="0.25">
      <c r="B28" s="6" t="s">
        <v>26</v>
      </c>
      <c r="C28" s="187"/>
      <c r="D28" s="188">
        <f>6.943*0.000015*2</f>
        <v>2.0829E-4</v>
      </c>
      <c r="E28" s="187"/>
      <c r="F28" s="188">
        <f>6.943*0.000015*2</f>
        <v>2.0829E-4</v>
      </c>
      <c r="G28" s="187"/>
      <c r="H28" s="188">
        <f>6.943*0.000015*2</f>
        <v>2.0829E-4</v>
      </c>
      <c r="I28" s="187"/>
      <c r="J28" s="188">
        <f>6.943*0.000015*2</f>
        <v>2.0829E-4</v>
      </c>
      <c r="S28" s="189"/>
      <c r="T28" s="190"/>
      <c r="V28" s="22"/>
      <c r="W28" s="6"/>
    </row>
    <row r="29" spans="2:25" x14ac:dyDescent="0.25">
      <c r="B29" s="6" t="s">
        <v>34</v>
      </c>
      <c r="C29" s="34">
        <f>0.95*3.5</f>
        <v>3.3249999999999997</v>
      </c>
      <c r="D29" s="8"/>
      <c r="E29" s="34">
        <f>0.95*3</f>
        <v>2.8499999999999996</v>
      </c>
      <c r="F29" s="8"/>
      <c r="G29" s="34">
        <f>3*0.95</f>
        <v>2.8499999999999996</v>
      </c>
      <c r="H29" s="8"/>
      <c r="I29" s="34">
        <f>3*0.95</f>
        <v>2.8499999999999996</v>
      </c>
      <c r="J29" s="8"/>
      <c r="S29" s="146"/>
      <c r="V29" s="22"/>
      <c r="W29" s="6"/>
      <c r="X29" s="81"/>
      <c r="Y29" s="81"/>
    </row>
    <row r="30" spans="2:25" x14ac:dyDescent="0.25">
      <c r="B30" s="6" t="s">
        <v>21</v>
      </c>
      <c r="C30" s="34">
        <f>0.05*3.5</f>
        <v>0.17500000000000002</v>
      </c>
      <c r="D30" s="8"/>
      <c r="E30" s="34">
        <f>0.05*3</f>
        <v>0.15000000000000002</v>
      </c>
      <c r="F30" s="8"/>
      <c r="G30" s="34">
        <f>3*0.05</f>
        <v>0.15000000000000002</v>
      </c>
      <c r="H30" s="8"/>
      <c r="I30" s="34">
        <f>3*0.05</f>
        <v>0.15000000000000002</v>
      </c>
      <c r="J30" s="8"/>
      <c r="S30" s="146"/>
      <c r="V30" s="22"/>
      <c r="W30" s="6"/>
    </row>
    <row r="31" spans="2:25" x14ac:dyDescent="0.25">
      <c r="B31" s="6" t="s">
        <v>22</v>
      </c>
      <c r="C31" s="34">
        <v>3.7</v>
      </c>
      <c r="D31" s="8"/>
      <c r="E31" s="34">
        <v>3.7</v>
      </c>
      <c r="F31" s="8"/>
      <c r="G31" s="34">
        <v>2.6</v>
      </c>
      <c r="H31" s="8"/>
      <c r="I31" s="34">
        <v>2.6</v>
      </c>
      <c r="J31" s="8"/>
      <c r="S31" s="146"/>
      <c r="V31" s="22"/>
      <c r="W31" s="6"/>
    </row>
    <row r="32" spans="2:25" x14ac:dyDescent="0.25">
      <c r="B32" s="6" t="s">
        <v>23</v>
      </c>
      <c r="C32" s="16"/>
      <c r="D32" s="17">
        <f>'Tier 0'!$T$18</f>
        <v>5.3843040000000003E-4</v>
      </c>
      <c r="E32" s="16"/>
      <c r="F32" s="17">
        <f>'Tier 0'!$T$18</f>
        <v>5.3843040000000003E-4</v>
      </c>
      <c r="G32" s="16"/>
      <c r="H32" s="17">
        <f>'Tier 0'!$T$18</f>
        <v>5.3843040000000003E-4</v>
      </c>
      <c r="I32" s="16"/>
      <c r="J32" s="17">
        <f>'Tier 0'!T27</f>
        <v>2.1878322E-4</v>
      </c>
      <c r="S32" s="10"/>
      <c r="T32" s="10"/>
      <c r="V32" s="22"/>
      <c r="W32" s="6"/>
    </row>
    <row r="33" spans="2:25" x14ac:dyDescent="0.25">
      <c r="O33" s="22"/>
      <c r="P33" s="6"/>
      <c r="V33" s="22"/>
      <c r="W33" s="6"/>
      <c r="X33" s="10"/>
      <c r="Y33" s="10"/>
    </row>
    <row r="34" spans="2:25" x14ac:dyDescent="0.25">
      <c r="O34" s="22"/>
      <c r="P34" s="6"/>
      <c r="Q34" s="81"/>
      <c r="R34" s="81"/>
      <c r="X34" s="23"/>
      <c r="Y34" s="23"/>
    </row>
    <row r="35" spans="2:25" x14ac:dyDescent="0.25">
      <c r="O35" s="22"/>
      <c r="P35" s="6"/>
      <c r="W35" s="6"/>
      <c r="X35" s="24"/>
      <c r="Y35" s="24"/>
    </row>
    <row r="36" spans="2:25" ht="18" customHeight="1" x14ac:dyDescent="0.25">
      <c r="B36" s="5"/>
      <c r="C36" s="5"/>
      <c r="E36" s="5"/>
      <c r="F36" s="5"/>
      <c r="O36" s="22"/>
      <c r="P36" s="6"/>
      <c r="X36" s="25"/>
      <c r="Y36" s="25"/>
    </row>
    <row r="37" spans="2:25" ht="16.5" customHeight="1" x14ac:dyDescent="0.25">
      <c r="O37" s="22"/>
      <c r="P37" s="6"/>
      <c r="V37" s="22"/>
      <c r="W37" s="6"/>
    </row>
    <row r="38" spans="2:25" ht="18" customHeight="1" x14ac:dyDescent="0.25">
      <c r="O38" s="22"/>
      <c r="P38" s="6"/>
      <c r="Q38" s="10"/>
      <c r="R38" s="10"/>
      <c r="V38" s="22"/>
      <c r="W38" s="6"/>
    </row>
    <row r="39" spans="2:25" x14ac:dyDescent="0.25">
      <c r="V39" s="22"/>
      <c r="W39" s="6"/>
      <c r="X39" s="81"/>
      <c r="Y39" s="81"/>
    </row>
    <row r="40" spans="2:25" x14ac:dyDescent="0.25">
      <c r="V40" s="22"/>
      <c r="W40" s="6"/>
    </row>
    <row r="41" spans="2:25" x14ac:dyDescent="0.25">
      <c r="V41" s="22"/>
      <c r="W41" s="6"/>
    </row>
    <row r="42" spans="2:25" x14ac:dyDescent="0.25">
      <c r="V42" s="22"/>
      <c r="W42" s="6"/>
    </row>
    <row r="43" spans="2:25" x14ac:dyDescent="0.25">
      <c r="V43" s="22"/>
      <c r="W43" s="6"/>
      <c r="X43" s="10"/>
      <c r="Y43" s="10"/>
    </row>
    <row r="44" spans="2:25" x14ac:dyDescent="0.25">
      <c r="X44" s="23"/>
      <c r="Y44" s="23"/>
    </row>
    <row r="45" spans="2:25" ht="18" customHeight="1" x14ac:dyDescent="0.25">
      <c r="W45" s="6"/>
      <c r="X45" s="24"/>
      <c r="Y45" s="24"/>
    </row>
    <row r="46" spans="2:25" ht="42.75" customHeight="1" x14ac:dyDescent="0.25">
      <c r="X46" s="25"/>
      <c r="Y46" s="25"/>
    </row>
    <row r="47" spans="2:25" ht="80.25" customHeight="1" x14ac:dyDescent="0.25">
      <c r="V47" s="22"/>
      <c r="W47" s="6"/>
    </row>
    <row r="48" spans="2:25" x14ac:dyDescent="0.25">
      <c r="V48" s="22"/>
      <c r="W48" s="6"/>
    </row>
    <row r="49" spans="22:25" x14ac:dyDescent="0.25">
      <c r="V49" s="22"/>
      <c r="W49" s="6"/>
      <c r="X49" s="81"/>
      <c r="Y49" s="81"/>
    </row>
    <row r="50" spans="22:25" x14ac:dyDescent="0.25">
      <c r="V50" s="22"/>
      <c r="W50" s="6"/>
    </row>
    <row r="51" spans="22:25" x14ac:dyDescent="0.25">
      <c r="V51" s="22"/>
      <c r="W51" s="6"/>
    </row>
    <row r="52" spans="22:25" x14ac:dyDescent="0.25">
      <c r="V52" s="22"/>
      <c r="W52" s="6"/>
    </row>
    <row r="53" spans="22:25" x14ac:dyDescent="0.25">
      <c r="V53" s="22"/>
      <c r="W53" s="6"/>
      <c r="X53" s="10"/>
      <c r="Y53" s="10"/>
    </row>
    <row r="54" spans="22:25" x14ac:dyDescent="0.25">
      <c r="X54" s="23"/>
      <c r="Y54" s="23"/>
    </row>
    <row r="55" spans="22:25" x14ac:dyDescent="0.25">
      <c r="W55" s="6"/>
      <c r="X55" s="24"/>
      <c r="Y55" s="24"/>
    </row>
    <row r="56" spans="22:25" x14ac:dyDescent="0.25">
      <c r="X56" s="25"/>
      <c r="Y56" s="25"/>
    </row>
    <row r="57" spans="22:25" ht="80.25" customHeight="1" x14ac:dyDescent="0.25">
      <c r="V57" s="22"/>
      <c r="W57" s="6"/>
    </row>
    <row r="58" spans="22:25" x14ac:dyDescent="0.25">
      <c r="V58" s="22"/>
      <c r="W58" s="6"/>
    </row>
    <row r="59" spans="22:25" x14ac:dyDescent="0.25">
      <c r="V59" s="22"/>
      <c r="W59" s="6"/>
      <c r="X59" s="81"/>
      <c r="Y59" s="81"/>
    </row>
    <row r="60" spans="22:25" x14ac:dyDescent="0.25">
      <c r="V60" s="22"/>
      <c r="W60" s="6"/>
    </row>
    <row r="61" spans="22:25" x14ac:dyDescent="0.25">
      <c r="V61" s="22"/>
      <c r="W61" s="6"/>
    </row>
    <row r="62" spans="22:25" x14ac:dyDescent="0.25">
      <c r="V62" s="22"/>
      <c r="W62" s="6"/>
    </row>
    <row r="63" spans="22:25" x14ac:dyDescent="0.25">
      <c r="V63" s="22"/>
      <c r="W63" s="6"/>
      <c r="X63" s="10"/>
      <c r="Y63" s="10"/>
    </row>
    <row r="64" spans="22:25" x14ac:dyDescent="0.25">
      <c r="X64" s="23"/>
      <c r="Y64" s="23"/>
    </row>
    <row r="65" spans="22:25" x14ac:dyDescent="0.25">
      <c r="W65" s="6"/>
      <c r="X65" s="24"/>
      <c r="Y65" s="24"/>
    </row>
    <row r="66" spans="22:25" x14ac:dyDescent="0.25">
      <c r="X66" s="25"/>
      <c r="Y66" s="25"/>
    </row>
    <row r="67" spans="22:25" ht="80.25" customHeight="1" x14ac:dyDescent="0.25">
      <c r="V67" s="22"/>
      <c r="W67" s="6"/>
    </row>
    <row r="68" spans="22:25" x14ac:dyDescent="0.25">
      <c r="V68" s="22"/>
      <c r="W68" s="6"/>
    </row>
    <row r="69" spans="22:25" x14ac:dyDescent="0.25">
      <c r="V69" s="22"/>
      <c r="W69" s="6"/>
      <c r="X69" s="81"/>
      <c r="Y69" s="81"/>
    </row>
    <row r="70" spans="22:25" x14ac:dyDescent="0.25">
      <c r="V70" s="22"/>
      <c r="W70" s="6"/>
    </row>
    <row r="71" spans="22:25" x14ac:dyDescent="0.25">
      <c r="V71" s="22"/>
      <c r="W71" s="6"/>
    </row>
    <row r="72" spans="22:25" x14ac:dyDescent="0.25">
      <c r="V72" s="22"/>
      <c r="W72" s="6"/>
    </row>
    <row r="73" spans="22:25" x14ac:dyDescent="0.25">
      <c r="V73" s="22"/>
      <c r="W73" s="6"/>
      <c r="X73" s="10"/>
      <c r="Y73" s="10"/>
    </row>
    <row r="74" spans="22:25" x14ac:dyDescent="0.25">
      <c r="X74" s="23"/>
    </row>
    <row r="75" spans="22:25" x14ac:dyDescent="0.25">
      <c r="X75" s="25"/>
      <c r="Y75" s="25"/>
    </row>
    <row r="76" spans="22:25" ht="80.25" customHeight="1" x14ac:dyDescent="0.25">
      <c r="V76" s="22"/>
      <c r="W76" s="6"/>
    </row>
    <row r="77" spans="22:25" x14ac:dyDescent="0.25">
      <c r="V77" s="22"/>
      <c r="W77" s="6"/>
    </row>
    <row r="78" spans="22:25" x14ac:dyDescent="0.25">
      <c r="V78" s="22"/>
      <c r="W78" s="6"/>
      <c r="X78" s="81"/>
      <c r="Y78" s="81"/>
    </row>
    <row r="79" spans="22:25" x14ac:dyDescent="0.25">
      <c r="V79" s="22"/>
      <c r="W79" s="6"/>
    </row>
    <row r="80" spans="22:25" x14ac:dyDescent="0.25">
      <c r="V80" s="22"/>
      <c r="W80" s="6"/>
    </row>
    <row r="81" spans="22:25" x14ac:dyDescent="0.25">
      <c r="V81" s="22"/>
      <c r="W81" s="6"/>
    </row>
    <row r="82" spans="22:25" x14ac:dyDescent="0.25">
      <c r="V82" s="22"/>
      <c r="W82" s="6"/>
      <c r="X82" s="10"/>
      <c r="Y82" s="10"/>
    </row>
    <row r="83" spans="22:25" x14ac:dyDescent="0.25">
      <c r="V83" s="11"/>
      <c r="W83" s="6"/>
      <c r="X83" s="24"/>
      <c r="Y83" s="24"/>
    </row>
    <row r="84" spans="22:25" x14ac:dyDescent="0.25">
      <c r="V84" s="11"/>
      <c r="W84" s="6"/>
      <c r="X84" s="25"/>
      <c r="Y84" s="25"/>
    </row>
    <row r="85" spans="22:25" ht="42.75" customHeight="1" x14ac:dyDescent="0.25">
      <c r="V85" s="22"/>
      <c r="W85" s="6"/>
    </row>
    <row r="86" spans="22:25" x14ac:dyDescent="0.25">
      <c r="V86" s="22"/>
      <c r="W86" s="6"/>
    </row>
    <row r="87" spans="22:25" x14ac:dyDescent="0.25">
      <c r="V87" s="22"/>
      <c r="W87" s="6"/>
      <c r="X87" s="81"/>
      <c r="Y87" s="81"/>
    </row>
    <row r="88" spans="22:25" x14ac:dyDescent="0.25">
      <c r="V88" s="22"/>
      <c r="W88" s="6"/>
    </row>
    <row r="89" spans="22:25" x14ac:dyDescent="0.25">
      <c r="V89" s="22"/>
      <c r="W89" s="6"/>
    </row>
    <row r="90" spans="22:25" x14ac:dyDescent="0.25">
      <c r="V90" s="22"/>
      <c r="W90" s="6"/>
    </row>
    <row r="91" spans="22:25" x14ac:dyDescent="0.25">
      <c r="V91" s="22"/>
      <c r="W91" s="6"/>
      <c r="X91" s="10"/>
      <c r="Y91" s="10"/>
    </row>
  </sheetData>
  <sheetProtection algorithmName="SHA-512" hashValue="ggNXyrnAcN8OXde4bWVy66zvVt1ayPnLumV39W7bUVFgkuZXZxeltbCXhiwaaKrlVcCeRuuSYuRaLKGxsPcgvA==" saltValue="0/PTHwXlhD4URadvJbou5w==" spinCount="100000" sheet="1" objects="1" scenarios="1"/>
  <mergeCells count="22">
    <mergeCell ref="N8:O8"/>
    <mergeCell ref="K14:L14"/>
    <mergeCell ref="M14:N14"/>
    <mergeCell ref="O14:P14"/>
    <mergeCell ref="H4:H5"/>
    <mergeCell ref="G14:H14"/>
    <mergeCell ref="I14:J14"/>
    <mergeCell ref="G4:G5"/>
    <mergeCell ref="J2:J5"/>
    <mergeCell ref="N3:R3"/>
    <mergeCell ref="K2:L4"/>
    <mergeCell ref="C24:D24"/>
    <mergeCell ref="E24:F24"/>
    <mergeCell ref="G24:H24"/>
    <mergeCell ref="I24:J24"/>
    <mergeCell ref="C23:J23"/>
    <mergeCell ref="C14:D14"/>
    <mergeCell ref="E14:F14"/>
    <mergeCell ref="C4:C5"/>
    <mergeCell ref="D4:D5"/>
    <mergeCell ref="E4:E5"/>
    <mergeCell ref="F4:F5"/>
  </mergeCells>
  <pageMargins left="0.7" right="0.7" top="0.75" bottom="0.75" header="0.3" footer="0.3"/>
  <ignoredErrors>
    <ignoredError sqref="D19:D21 F19:G21 H19:P21" evalError="1"/>
  </ignoredErrors>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0994B-E89F-4FE6-9564-937B39323CFE}">
  <sheetPr>
    <tabColor rgb="FF4A2263"/>
    <pageSetUpPr autoPageBreaks="0"/>
  </sheetPr>
  <dimension ref="B1:AC90"/>
  <sheetViews>
    <sheetView workbookViewId="0">
      <selection activeCell="G23" sqref="G23"/>
    </sheetView>
  </sheetViews>
  <sheetFormatPr defaultRowHeight="15" x14ac:dyDescent="0.25"/>
  <cols>
    <col min="3" max="3" width="14.7109375" customWidth="1"/>
    <col min="4" max="4" width="12.140625" customWidth="1"/>
    <col min="5" max="5" width="12.5703125" customWidth="1"/>
    <col min="6" max="6" width="10.42578125" customWidth="1"/>
    <col min="7" max="7" width="10.5703125" customWidth="1"/>
    <col min="8" max="8" width="9.85546875" customWidth="1"/>
    <col min="9" max="9" width="9.7109375" customWidth="1"/>
    <col min="16" max="16" width="9.28515625" customWidth="1"/>
    <col min="17" max="17" width="9.5703125" customWidth="1"/>
    <col min="18" max="18" width="10.5703125" customWidth="1"/>
    <col min="19" max="19" width="12.140625" customWidth="1"/>
    <col min="20" max="21" width="10.42578125" customWidth="1"/>
    <col min="22" max="22" width="9.5703125" customWidth="1"/>
    <col min="23" max="23" width="10" customWidth="1"/>
    <col min="24" max="24" width="11.140625" customWidth="1"/>
    <col min="25" max="25" width="11.28515625" customWidth="1"/>
    <col min="26" max="26" width="12.7109375" customWidth="1"/>
  </cols>
  <sheetData>
    <row r="1" spans="2:29" ht="15.75" thickBot="1" x14ac:dyDescent="0.3"/>
    <row r="2" spans="2:29" ht="14.25" customHeight="1" x14ac:dyDescent="0.25">
      <c r="H2" s="6"/>
      <c r="J2" s="441" t="s">
        <v>9</v>
      </c>
      <c r="K2" s="444" t="s">
        <v>10</v>
      </c>
      <c r="L2" s="445"/>
      <c r="AB2" s="6"/>
      <c r="AC2" s="6"/>
    </row>
    <row r="3" spans="2:29" ht="15" customHeight="1" thickBot="1" x14ac:dyDescent="0.3">
      <c r="J3" s="442"/>
      <c r="K3" s="446"/>
      <c r="L3" s="447"/>
      <c r="N3" s="418" t="s">
        <v>82</v>
      </c>
      <c r="O3" s="420"/>
      <c r="P3" s="420"/>
      <c r="Q3" s="420"/>
      <c r="R3" s="419"/>
      <c r="AB3" s="11"/>
    </row>
    <row r="4" spans="2:29" ht="16.5" customHeight="1" thickBot="1" x14ac:dyDescent="0.3">
      <c r="C4" s="407" t="s">
        <v>16</v>
      </c>
      <c r="D4" s="407" t="s">
        <v>130</v>
      </c>
      <c r="E4" s="407" t="s">
        <v>15</v>
      </c>
      <c r="F4" s="407" t="s">
        <v>131</v>
      </c>
      <c r="G4" s="407" t="s">
        <v>65</v>
      </c>
      <c r="H4" s="407" t="s">
        <v>64</v>
      </c>
      <c r="J4" s="442"/>
      <c r="K4" s="448"/>
      <c r="L4" s="449"/>
      <c r="N4" s="409" t="s">
        <v>30</v>
      </c>
      <c r="O4" s="410"/>
      <c r="P4" s="410"/>
      <c r="Q4" s="411"/>
      <c r="R4" s="167" t="s">
        <v>29</v>
      </c>
      <c r="AB4" s="6"/>
    </row>
    <row r="5" spans="2:29" ht="16.5" customHeight="1" thickBot="1" x14ac:dyDescent="0.3">
      <c r="C5" s="408"/>
      <c r="D5" s="408"/>
      <c r="E5" s="408"/>
      <c r="F5" s="408"/>
      <c r="G5" s="408"/>
      <c r="H5" s="408"/>
      <c r="J5" s="443"/>
      <c r="K5" s="205" t="s">
        <v>31</v>
      </c>
      <c r="L5" s="205" t="s">
        <v>12</v>
      </c>
      <c r="N5" s="412" t="s">
        <v>33</v>
      </c>
      <c r="O5" s="413"/>
      <c r="P5" s="413"/>
      <c r="Q5" s="414"/>
      <c r="R5" s="168" t="s">
        <v>32</v>
      </c>
      <c r="AB5" s="11"/>
    </row>
    <row r="6" spans="2:29" ht="16.5" customHeight="1" thickBot="1" x14ac:dyDescent="0.4">
      <c r="B6" s="43" t="s">
        <v>39</v>
      </c>
      <c r="C6" s="59" t="e" cm="1" vm="1">
        <f t="array" ref="C6">_xlfn._xlws.FILTER(Emissions!E15:J29,((Emissions!G15:G29="Tier 4")))</f>
        <v>#VALUE!</v>
      </c>
      <c r="D6" s="51"/>
      <c r="E6" s="103"/>
      <c r="F6" s="51"/>
      <c r="G6" s="51"/>
      <c r="H6" s="57"/>
      <c r="J6" s="30" t="s">
        <v>18</v>
      </c>
      <c r="K6" s="227">
        <f>SUMIF(C16:C21, "&gt;0")</f>
        <v>0</v>
      </c>
      <c r="L6" s="228">
        <f>SUMIF(D16:D21, "&gt;0")</f>
        <v>0</v>
      </c>
      <c r="N6" s="415" t="s">
        <v>121</v>
      </c>
      <c r="O6" s="416"/>
      <c r="P6" s="416"/>
      <c r="Q6" s="417"/>
      <c r="R6" s="166" t="s">
        <v>29</v>
      </c>
      <c r="S6" s="11"/>
      <c r="AB6" s="6"/>
    </row>
    <row r="7" spans="2:29" ht="16.5" customHeight="1" thickBot="1" x14ac:dyDescent="0.4">
      <c r="B7" s="43" t="s">
        <v>40</v>
      </c>
      <c r="C7" s="60"/>
      <c r="D7" s="53"/>
      <c r="E7" s="104"/>
      <c r="F7" s="53"/>
      <c r="G7" s="53"/>
      <c r="H7" s="58"/>
      <c r="J7" s="31" t="s">
        <v>19</v>
      </c>
      <c r="K7" s="229">
        <f>SUMIF(E16:E21, "&gt;0")</f>
        <v>0</v>
      </c>
      <c r="L7" s="230">
        <f>SUMIF(F16:F21, "&gt;0")</f>
        <v>0</v>
      </c>
      <c r="U7" s="6"/>
      <c r="V7" s="6"/>
      <c r="W7" s="6"/>
      <c r="AB7" s="11"/>
    </row>
    <row r="8" spans="2:29" ht="16.5" customHeight="1" thickBot="1" x14ac:dyDescent="0.3">
      <c r="B8" s="43" t="s">
        <v>41</v>
      </c>
      <c r="C8" s="60"/>
      <c r="D8" s="53"/>
      <c r="E8" s="104"/>
      <c r="F8" s="53"/>
      <c r="G8" s="53"/>
      <c r="H8" s="54"/>
      <c r="J8" s="31" t="s">
        <v>26</v>
      </c>
      <c r="K8" s="231">
        <f>SUMIF(G16:G21, "&gt;0")</f>
        <v>0</v>
      </c>
      <c r="L8" s="232">
        <f>SUMIF(H16:H21, "&gt;0")</f>
        <v>0</v>
      </c>
      <c r="N8" s="418" t="s">
        <v>44</v>
      </c>
      <c r="O8" s="419"/>
      <c r="U8" s="6"/>
      <c r="V8" s="6"/>
      <c r="W8" s="6"/>
      <c r="AB8" s="6"/>
    </row>
    <row r="9" spans="2:29" ht="16.5" customHeight="1" thickBot="1" x14ac:dyDescent="0.3">
      <c r="B9" s="43" t="s">
        <v>112</v>
      </c>
      <c r="C9" s="60"/>
      <c r="D9" s="53"/>
      <c r="E9" s="104"/>
      <c r="F9" s="53"/>
      <c r="G9" s="53"/>
      <c r="H9" s="54"/>
      <c r="J9" s="31" t="s">
        <v>20</v>
      </c>
      <c r="K9" s="229">
        <f>SUMIF(I16:I21, "&gt;0")</f>
        <v>0</v>
      </c>
      <c r="L9" s="230">
        <f>SUMIF(J16:J21, "&gt;0")</f>
        <v>0</v>
      </c>
      <c r="N9" s="44">
        <v>2000</v>
      </c>
      <c r="O9" s="167" t="s">
        <v>27</v>
      </c>
      <c r="W9" s="10"/>
      <c r="AB9" s="11"/>
    </row>
    <row r="10" spans="2:29" ht="16.5" customHeight="1" thickBot="1" x14ac:dyDescent="0.3">
      <c r="B10" s="43" t="s">
        <v>113</v>
      </c>
      <c r="C10" s="192"/>
      <c r="D10" s="53"/>
      <c r="E10" s="219"/>
      <c r="F10" s="193"/>
      <c r="G10" s="53"/>
      <c r="H10" s="58"/>
      <c r="J10" s="31" t="s">
        <v>21</v>
      </c>
      <c r="K10" s="229">
        <f>SUMIF(K16:K21, "&gt;0")</f>
        <v>0</v>
      </c>
      <c r="L10" s="230">
        <f>SUMIF(L16:L21, "&gt;0")</f>
        <v>0</v>
      </c>
      <c r="N10" s="44">
        <v>453.59199999999998</v>
      </c>
      <c r="O10" s="168" t="s">
        <v>28</v>
      </c>
      <c r="U10" s="6"/>
      <c r="W10" s="10"/>
      <c r="AB10" s="6"/>
    </row>
    <row r="11" spans="2:29" ht="16.5" customHeight="1" thickBot="1" x14ac:dyDescent="0.3">
      <c r="B11" s="43" t="s">
        <v>114</v>
      </c>
      <c r="C11" s="220"/>
      <c r="D11" s="55"/>
      <c r="E11" s="221"/>
      <c r="F11" s="212"/>
      <c r="G11" s="55"/>
      <c r="H11" s="222"/>
      <c r="J11" s="31" t="s">
        <v>22</v>
      </c>
      <c r="K11" s="229">
        <f>SUMIF(M16:M21, "&gt;0")</f>
        <v>0</v>
      </c>
      <c r="L11" s="230">
        <f>SUMIF(N16:N21, "&gt;0")</f>
        <v>0</v>
      </c>
      <c r="N11" s="45">
        <v>139000</v>
      </c>
      <c r="O11" s="166" t="s">
        <v>81</v>
      </c>
      <c r="P11" s="10"/>
      <c r="Q11" s="10"/>
      <c r="U11" s="6"/>
      <c r="W11" s="10"/>
      <c r="AB11" s="11"/>
    </row>
    <row r="12" spans="2:29" ht="15.75" thickBot="1" x14ac:dyDescent="0.3">
      <c r="C12" s="37"/>
      <c r="F12" s="37"/>
      <c r="J12" s="32" t="s">
        <v>23</v>
      </c>
      <c r="K12" s="178">
        <f>SUMIF(O16:O21, "&gt;0")</f>
        <v>0</v>
      </c>
      <c r="L12" s="179">
        <f>SUMIF(P16:P21, "&gt;0")</f>
        <v>0</v>
      </c>
      <c r="N12" s="11"/>
      <c r="O12" s="6"/>
      <c r="P12" s="10"/>
      <c r="Q12" s="10"/>
      <c r="U12" s="6"/>
      <c r="W12" s="10"/>
      <c r="AB12" s="6"/>
    </row>
    <row r="13" spans="2:29" x14ac:dyDescent="0.25">
      <c r="N13" s="11"/>
      <c r="O13" s="12"/>
      <c r="P13" s="25"/>
      <c r="Q13" s="25"/>
      <c r="U13" s="6"/>
      <c r="W13" s="10"/>
      <c r="AB13" s="11"/>
    </row>
    <row r="14" spans="2:29" ht="15" customHeight="1" x14ac:dyDescent="0.25">
      <c r="C14" s="418" t="s">
        <v>24</v>
      </c>
      <c r="D14" s="419"/>
      <c r="E14" s="418" t="s">
        <v>25</v>
      </c>
      <c r="F14" s="419"/>
      <c r="G14" s="418" t="s">
        <v>26</v>
      </c>
      <c r="H14" s="419"/>
      <c r="I14" s="418" t="s">
        <v>20</v>
      </c>
      <c r="J14" s="419"/>
      <c r="K14" s="418" t="s">
        <v>21</v>
      </c>
      <c r="L14" s="419"/>
      <c r="M14" s="418" t="s">
        <v>22</v>
      </c>
      <c r="N14" s="419"/>
      <c r="O14" s="418" t="s">
        <v>23</v>
      </c>
      <c r="P14" s="419"/>
      <c r="Q14" s="24"/>
      <c r="R14" s="418" t="s">
        <v>150</v>
      </c>
      <c r="S14" s="420"/>
      <c r="T14" s="419"/>
      <c r="U14" s="6"/>
      <c r="W14" s="10"/>
      <c r="AB14" s="6"/>
    </row>
    <row r="15" spans="2:29" ht="15" customHeight="1" x14ac:dyDescent="0.25">
      <c r="C15" s="147" t="s">
        <v>29</v>
      </c>
      <c r="D15" s="144" t="s">
        <v>32</v>
      </c>
      <c r="E15" s="28" t="s">
        <v>29</v>
      </c>
      <c r="F15" s="29" t="s">
        <v>32</v>
      </c>
      <c r="G15" s="28" t="s">
        <v>29</v>
      </c>
      <c r="H15" s="29" t="s">
        <v>32</v>
      </c>
      <c r="I15" s="147" t="s">
        <v>29</v>
      </c>
      <c r="J15" s="29" t="s">
        <v>32</v>
      </c>
      <c r="K15" s="28" t="s">
        <v>29</v>
      </c>
      <c r="L15" s="29" t="s">
        <v>32</v>
      </c>
      <c r="M15" s="28" t="s">
        <v>29</v>
      </c>
      <c r="N15" s="29" t="s">
        <v>32</v>
      </c>
      <c r="O15" s="145" t="s">
        <v>29</v>
      </c>
      <c r="P15" s="29" t="s">
        <v>32</v>
      </c>
      <c r="Q15" s="143"/>
      <c r="R15" s="142" t="s">
        <v>151</v>
      </c>
      <c r="S15" s="91" t="s">
        <v>146</v>
      </c>
      <c r="T15" s="92" t="s">
        <v>48</v>
      </c>
      <c r="U15" s="6"/>
      <c r="W15" s="6"/>
      <c r="AB15" s="11"/>
    </row>
    <row r="16" spans="2:29" ht="18" customHeight="1" x14ac:dyDescent="0.25">
      <c r="B16" s="33" t="s">
        <v>89</v>
      </c>
      <c r="C16" s="89" t="e" vm="2">
        <f>IF(AND($D6&gt;0,$D6&lt;11),$C$27*$D6/$N$10,IF(AND($D6&gt;=11,$D6&lt;25),$E$27*$D6/$N$10,IF(AND($D6&gt;=25,$D6&lt;50,$C6&gt;2007,$C6&lt;2013),$G$27*$D6/$N$10,IF(AND($D6&gt;=25,$D6&lt;50,$C6&gt;2012),$I$27*$D6/$N$10,IF(AND($D6&gt;=75,$D6&lt;175),$K$27*$D6/$N$10,IF(AND($D6&gt;=175,$D6&lt;=600),$M$27*$D6/$N$10,IF(AND($D6&gt;600,$D6&lt;=750),$O$27*$D6/$N$10,IF(AND($S16="Y",$T16="1G"),$Q$27*$D6/$N$10,IF(AND($S16="Y",$T16="1N"),$R$27*$D6/$N$10,IF(AND($S16="Y",$T16="2G"),$T$27*$D6/$N$10,IF(AND($S16="Y",$T16="2N"),$U$27*$D6/$N$10,"")))))))))))</f>
        <v>#VALUE!</v>
      </c>
      <c r="D16" s="217" t="e" vm="2">
        <f>(C16*$G6)/$N$9</f>
        <v>#VALUE!</v>
      </c>
      <c r="E16" s="207" t="e" vm="2">
        <f t="shared" ref="E16:E21" si="0">$C16</f>
        <v>#VALUE!</v>
      </c>
      <c r="F16" s="181" t="e" vm="2">
        <f t="shared" ref="F16:F21" si="1">$D16</f>
        <v>#VALUE!</v>
      </c>
      <c r="G16" s="183" t="e">
        <f>($F6/$G6)*$D$29</f>
        <v>#DIV/0!</v>
      </c>
      <c r="H16" s="184" t="e">
        <f t="shared" ref="H16:H21" si="2">(G16*$G6)/$N$9</f>
        <v>#DIV/0!</v>
      </c>
      <c r="I16" s="89" t="e" vm="2">
        <f>IF(AND($D6&gt;0,$D6&lt;11),$C$30*$D6/$N$10,IF(AND($D6&gt;=11,$D6&lt;25),$E$30*$D6/$N$10,IF(AND($D6&gt;=25,$D6&lt;50,$C6&gt;2007,$C6&lt;2013),$G$30*$D6/$N$10,IF(AND($D6&gt;=25,$D6&lt;50,$C6&gt;2012),$I$30*$D6/$N$10,IF(AND($D6&gt;=75,$D6&lt;175),$K$30*$D6/$N$10,IF(AND($D6&gt;=175,$D6&lt;=600),$M$30*$D6/$N$10,IF(AND($D6&gt;600,$D6&lt;=750),$O$30*$D6/$N$10,IF(AND($S16="Y",$T16="1G"),$Q$30*$D6/$N$10,IF(AND($S16="Y",$T16="1N"),$R$30*$D6/$N$10,IF(AND($S16="Y",$T16="2G"),$T$30*$D6/$N$10,IF(AND($S16="Y",$T16="2N"),$U$30*$D6/$N$10,"")))))))))))</f>
        <v>#VALUE!</v>
      </c>
      <c r="J16" s="217" t="e" vm="2">
        <f t="shared" ref="J16:J21" si="3">(I16*$G6)/$N$9</f>
        <v>#VALUE!</v>
      </c>
      <c r="K16" s="89" t="e" vm="2">
        <f>IF(AND($D6&gt;0,$D6&lt;11),$C$31*$D6/$N$10,IF(AND($D6&gt;=11,$D6&lt;25),$E$31*$D6/$N$10,IF(AND($D6&gt;=25,$D6&lt;50,$C6&gt;2007,$C6&lt;2013),$G$31*$D6/$N$10,IF(AND($D6&gt;=25,$D6&lt;50,$C6&gt;2012),$I$31*$D6/$N$10,IF(AND($D6&gt;=75,$D6&lt;175),$K$31*$D6/$N$10,IF(AND($D6&gt;=175,$D6&lt;=600),$M$31*$D6/$N$10,IF(AND($D6&gt;600,$D6&lt;=750),$O$31*$D6/$N$10,IF(AND($S16="Y",$T16="1G"),$Q$31*$D6/$N$10,IF(AND($S16="Y",$T16="1N"),$R$31*$D6/$N$10,IF(AND($S16="Y",$T16="2G"),$T$31*$D6/$N$10,IF(AND($S16="Y",$T16="2N"),$U$31*$D6/$N$10,"")))))))))))</f>
        <v>#VALUE!</v>
      </c>
      <c r="L16" s="217" t="e" vm="2">
        <f t="shared" ref="L16:L21" si="4">(K16*$G6)/$N$9</f>
        <v>#VALUE!</v>
      </c>
      <c r="M16" s="89" t="e" vm="2">
        <f>IF(AND($D6&gt;0,$D6&lt;11),$C$32*$D6/$N$10,IF(AND($D6&gt;=11,$D6&lt;25),$E$32*$D6/$N$10,IF(AND($D6&gt;=25,$D6&lt;50,$C6&gt;2007,$C6&lt;2013),$G$32*$D6/$N$10,IF(AND($D6&gt;=25,$D6&lt;50,$C6&gt;2012),$I$32*$D6/$N$10,IF(AND($D6&gt;=75,$D6&lt;175),$K$32*$D6/$N$10,IF(AND($D6&gt;=175,$D6&lt;=600),$M$32*$D6/$N$10,IF(AND($D6&gt;600,$D6&lt;=750),$O$32*$D6/$N$10,IF(AND($S16="Y",$T16="1G"),$Q$32*$D6/$N$10,IF(AND($S16="Y",$T16="1N"),$R$32*$D6/$N$10,IF(AND($S16="Y",$T16="2G"),$T$32*$D6/$N$10,IF(AND($S16="Y",$T16="2N"),$U$32*$D6/$N$10,"")))))))))))</f>
        <v>#VALUE!</v>
      </c>
      <c r="N16" s="217" t="e" vm="2">
        <f t="shared" ref="N16:N21" si="5">(M16*$G6)/$N$9</f>
        <v>#VALUE!</v>
      </c>
      <c r="O16" s="183" t="e">
        <f>IF($D6&lt;=600,($F6/$G6)*$N$33,($F6/$G6)*$P$33)</f>
        <v>#DIV/0!</v>
      </c>
      <c r="P16" s="218" t="e">
        <f t="shared" ref="P16:P21" si="6">(O16*$G6)/$N$9</f>
        <v>#DIV/0!</v>
      </c>
      <c r="Q16" s="146"/>
      <c r="R16" s="224" t="s">
        <v>152</v>
      </c>
      <c r="S16" s="170" t="str">
        <f>IF($D6&gt;750,"Y","N")</f>
        <v>N</v>
      </c>
      <c r="T16" s="159" t="str">
        <f>IF(S16="N","",IF(AND($C6&lt;2015,$H6="Y"),"1G",IF(AND($C6&lt;2015,$H6="N"),"1N",IF(AND($C6&gt;=2015,$H6="Y"),"2G","2N"))))</f>
        <v/>
      </c>
      <c r="U16" s="6"/>
      <c r="W16" s="10"/>
      <c r="AB16" s="6"/>
    </row>
    <row r="17" spans="2:28" ht="18" customHeight="1" x14ac:dyDescent="0.25">
      <c r="B17" s="33" t="s">
        <v>42</v>
      </c>
      <c r="C17" s="90" t="str">
        <f t="shared" ref="C17:C21" si="7">IF(AND($D7&gt;0,$D7&lt;11),$C$27*$D7/$N$10,IF(AND($D7&gt;=11,$D7&lt;25),$E$27*$D7/$N$10,IF(AND($D7&gt;=25,$D7&lt;50,$C7&gt;2007,$C7&lt;2013),$G$27*$D7/$N$10,IF(AND($D7&gt;=25,$D7&lt;50,$C7&gt;2012),$I$27*$D7/$N$10,IF(AND($D7&gt;=75,$D7&lt;175),$K$27*$D7/$N$10,IF(AND($D7&gt;=175,$D7&lt;=600),$M$27*$D7/$N$10,IF(AND($D7&gt;600,$D7&lt;=750),$O$27*$D7/$N$10,IF(AND($S17="Y",$T17="1G"),$Q$27*$D7/$N$10,IF(AND($S17="Y",$T17="1N"),$R$27*$D7/$N$10,IF(AND($S17="Y",$T17="2G"),$T$27*$D7/$N$10,IF(AND($S17="Y",$T17="2N"),$U$27*$D7/$N$10,"")))))))))))</f>
        <v/>
      </c>
      <c r="D17" s="162" t="e">
        <f>(C17*$G7)/$N$9</f>
        <v>#VALUE!</v>
      </c>
      <c r="E17" s="208" t="str">
        <f t="shared" si="0"/>
        <v/>
      </c>
      <c r="F17" s="182" t="e">
        <f t="shared" si="1"/>
        <v>#VALUE!</v>
      </c>
      <c r="G17" s="169" t="e">
        <f t="shared" ref="G17:G21" si="8">($F7/$G7)*$D$29</f>
        <v>#DIV/0!</v>
      </c>
      <c r="H17" s="159" t="e">
        <f t="shared" si="2"/>
        <v>#DIV/0!</v>
      </c>
      <c r="I17" s="90" t="str">
        <f t="shared" ref="I17:I21" si="9">IF(AND($D7&gt;0,$D7&lt;11),$C$30*$D7/$N$10,IF(AND($D7&gt;=11,$D7&lt;25),$E$30*$D7/$N$10,IF(AND($D7&gt;=25,$D7&lt;50,$C7&gt;2007,$C7&lt;2013),$G$30*$D7/$N$10,IF(AND($D7&gt;=25,$D7&lt;50,$C7&gt;2012),$I$30*$D7/$N$10,IF(AND($D7&gt;=75,$D7&lt;175),$K$30*$D7/$N$10,IF(AND($D7&gt;=175,$D7&lt;=600),$M$30*$D7/$N$10,IF(AND($D7&gt;600,$D7&lt;=750),$O$30*$D7/$N$10,IF(AND($S17="Y",$T17="1G"),$Q$30*$D7/$N$10,IF(AND($S17="Y",$T17="1N"),$R$30*$D7/$N$10,IF(AND($S17="Y",$T17="2G"),$T$30*$D7/$N$10,IF(AND($S17="Y",$T17="2N"),$U$30*$D7/$N$10,"")))))))))))</f>
        <v/>
      </c>
      <c r="J17" s="162" t="e">
        <f t="shared" si="3"/>
        <v>#VALUE!</v>
      </c>
      <c r="K17" s="90" t="str">
        <f t="shared" ref="K17:K21" si="10">IF(AND($D7&gt;0,$D7&lt;11),$C$31*$D7/$N$10,IF(AND($D7&gt;=11,$D7&lt;25),$E$31*$D7/$N$10,IF(AND($D7&gt;=25,$D7&lt;50,$C7&gt;2007,$C7&lt;2013),$G$31*$D7/$N$10,IF(AND($D7&gt;=25,$D7&lt;50,$C7&gt;2012),$I$31*$D7/$N$10,IF(AND($D7&gt;=75,$D7&lt;175),$K$31*$D7/$N$10,IF(AND($D7&gt;=175,$D7&lt;=600),$M$31*$D7/$N$10,IF(AND($D7&gt;600,$D7&lt;=750),$O$31*$D7/$N$10,IF(AND($S17="Y",$T17="1G"),$Q$31*$D7/$N$10,IF(AND($S17="Y",$T17="1N"),$R$31*$D7/$N$10,IF(AND($S17="Y",$T17="2G"),$T$31*$D7/$N$10,IF(AND($S17="Y",$T17="2N"),$U$31*$D7/$N$10,"")))))))))))</f>
        <v/>
      </c>
      <c r="L17" s="162" t="e">
        <f t="shared" si="4"/>
        <v>#VALUE!</v>
      </c>
      <c r="M17" s="90" t="str">
        <f t="shared" ref="M17:M21" si="11">IF(AND($D7&gt;0,$D7&lt;11),$C$32*$D7/$N$10,IF(AND($D7&gt;=11,$D7&lt;25),$E$32*$D7/$N$10,IF(AND($D7&gt;=25,$D7&lt;50,$C7&gt;2007,$C7&lt;2013),$G$32*$D7/$N$10,IF(AND($D7&gt;=25,$D7&lt;50,$C7&gt;2012),$I$32*$D7/$N$10,IF(AND($D7&gt;=75,$D7&lt;175),$K$32*$D7/$N$10,IF(AND($D7&gt;=175,$D7&lt;=600),$M$32*$D7/$N$10,IF(AND($D7&gt;600,$D7&lt;=750),$O$32*$D7/$N$10,IF(AND($S17="Y",$T17="1G"),$Q$32*$D7/$N$10,IF(AND($S17="Y",$T17="1N"),$R$32*$D7/$N$10,IF(AND($S17="Y",$T17="2G"),$T$32*$D7/$N$10,IF(AND($S17="Y",$T17="2N"),$U$32*$D7/$N$10,"")))))))))))</f>
        <v/>
      </c>
      <c r="N17" s="162" t="e">
        <f t="shared" si="5"/>
        <v>#VALUE!</v>
      </c>
      <c r="O17" s="158" t="e">
        <f t="shared" ref="O17:O21" si="12">IF($D7&lt;=600,($F7/$G7)*$N$33,($F7/$G7)*$P$33)</f>
        <v>#DIV/0!</v>
      </c>
      <c r="P17" s="9" t="e">
        <f t="shared" si="6"/>
        <v>#DIV/0!</v>
      </c>
      <c r="Q17" s="146"/>
      <c r="R17" s="225" t="s">
        <v>42</v>
      </c>
      <c r="S17" s="23" t="str">
        <f t="shared" ref="S17:S21" si="13">IF($D7&gt;750,"Y","N")</f>
        <v>N</v>
      </c>
      <c r="T17" s="159" t="str">
        <f t="shared" ref="T17:T21" si="14">IF(S17="N","",IF(AND($C7&lt;2015,$H7="Y"),"1G",IF(AND($C7&lt;2015,$H7="N"),"1N",IF(AND($C7&gt;=2015,$H7="Y"),"2G","2N"))))</f>
        <v/>
      </c>
      <c r="U17" s="6"/>
      <c r="W17" s="10"/>
      <c r="AB17" s="11"/>
    </row>
    <row r="18" spans="2:28" x14ac:dyDescent="0.25">
      <c r="B18" s="33" t="s">
        <v>43</v>
      </c>
      <c r="C18" s="90" t="str">
        <f t="shared" si="7"/>
        <v/>
      </c>
      <c r="D18" s="162" t="e">
        <f t="shared" ref="D18" si="15">(C18*$G8)/$N$9</f>
        <v>#VALUE!</v>
      </c>
      <c r="E18" s="208" t="str">
        <f t="shared" si="0"/>
        <v/>
      </c>
      <c r="F18" s="182" t="e">
        <f t="shared" si="1"/>
        <v>#VALUE!</v>
      </c>
      <c r="G18" s="169" t="e">
        <f t="shared" si="8"/>
        <v>#DIV/0!</v>
      </c>
      <c r="H18" s="159" t="e">
        <f t="shared" si="2"/>
        <v>#DIV/0!</v>
      </c>
      <c r="I18" s="90" t="str">
        <f t="shared" si="9"/>
        <v/>
      </c>
      <c r="J18" s="162" t="e">
        <f t="shared" si="3"/>
        <v>#VALUE!</v>
      </c>
      <c r="K18" s="90" t="str">
        <f t="shared" si="10"/>
        <v/>
      </c>
      <c r="L18" s="162" t="e">
        <f t="shared" si="4"/>
        <v>#VALUE!</v>
      </c>
      <c r="M18" s="90" t="str">
        <f t="shared" si="11"/>
        <v/>
      </c>
      <c r="N18" s="162" t="e">
        <f t="shared" si="5"/>
        <v>#VALUE!</v>
      </c>
      <c r="O18" s="158" t="e">
        <f t="shared" si="12"/>
        <v>#DIV/0!</v>
      </c>
      <c r="P18" s="9" t="e">
        <f t="shared" si="6"/>
        <v>#DIV/0!</v>
      </c>
      <c r="Q18" s="146"/>
      <c r="R18" s="225" t="s">
        <v>43</v>
      </c>
      <c r="S18" s="23" t="str">
        <f t="shared" si="13"/>
        <v>N</v>
      </c>
      <c r="T18" s="159" t="str">
        <f t="shared" si="14"/>
        <v/>
      </c>
      <c r="U18" s="6"/>
      <c r="W18" s="10"/>
      <c r="AB18" s="6"/>
    </row>
    <row r="19" spans="2:28" x14ac:dyDescent="0.25">
      <c r="B19" s="33" t="s">
        <v>109</v>
      </c>
      <c r="C19" s="90" t="str">
        <f t="shared" si="7"/>
        <v/>
      </c>
      <c r="D19" s="162" t="e">
        <f>(C19*$G9)/$N$9</f>
        <v>#VALUE!</v>
      </c>
      <c r="E19" s="208" t="str">
        <f t="shared" si="0"/>
        <v/>
      </c>
      <c r="F19" s="182" t="e">
        <f t="shared" si="1"/>
        <v>#VALUE!</v>
      </c>
      <c r="G19" s="169" t="e">
        <f t="shared" si="8"/>
        <v>#DIV/0!</v>
      </c>
      <c r="H19" s="159" t="e">
        <f t="shared" si="2"/>
        <v>#DIV/0!</v>
      </c>
      <c r="I19" s="90" t="str">
        <f t="shared" si="9"/>
        <v/>
      </c>
      <c r="J19" s="162" t="e">
        <f t="shared" si="3"/>
        <v>#VALUE!</v>
      </c>
      <c r="K19" s="90" t="str">
        <f t="shared" si="10"/>
        <v/>
      </c>
      <c r="L19" s="162" t="e">
        <f t="shared" si="4"/>
        <v>#VALUE!</v>
      </c>
      <c r="M19" s="90" t="str">
        <f t="shared" si="11"/>
        <v/>
      </c>
      <c r="N19" s="162" t="e">
        <f t="shared" si="5"/>
        <v>#VALUE!</v>
      </c>
      <c r="O19" s="158" t="e">
        <f t="shared" si="12"/>
        <v>#DIV/0!</v>
      </c>
      <c r="P19" s="9" t="e">
        <f t="shared" si="6"/>
        <v>#DIV/0!</v>
      </c>
      <c r="Q19" s="146"/>
      <c r="R19" s="225" t="s">
        <v>109</v>
      </c>
      <c r="S19" s="23" t="str">
        <f t="shared" si="13"/>
        <v>N</v>
      </c>
      <c r="T19" s="159" t="str">
        <f t="shared" si="14"/>
        <v/>
      </c>
      <c r="U19" s="6"/>
      <c r="W19" s="10"/>
      <c r="AB19" s="11"/>
    </row>
    <row r="20" spans="2:28" x14ac:dyDescent="0.25">
      <c r="B20" s="33" t="s">
        <v>110</v>
      </c>
      <c r="C20" s="90" t="str">
        <f t="shared" si="7"/>
        <v/>
      </c>
      <c r="D20" s="162" t="e">
        <f>(C20*$G10)/$N$9</f>
        <v>#VALUE!</v>
      </c>
      <c r="E20" s="208" t="str">
        <f t="shared" si="0"/>
        <v/>
      </c>
      <c r="F20" s="182" t="e">
        <f t="shared" si="1"/>
        <v>#VALUE!</v>
      </c>
      <c r="G20" s="169" t="e">
        <f t="shared" si="8"/>
        <v>#DIV/0!</v>
      </c>
      <c r="H20" s="159" t="e">
        <f t="shared" si="2"/>
        <v>#DIV/0!</v>
      </c>
      <c r="I20" s="90" t="str">
        <f t="shared" si="9"/>
        <v/>
      </c>
      <c r="J20" s="162" t="e">
        <f t="shared" si="3"/>
        <v>#VALUE!</v>
      </c>
      <c r="K20" s="90" t="str">
        <f t="shared" si="10"/>
        <v/>
      </c>
      <c r="L20" s="162" t="e">
        <f t="shared" si="4"/>
        <v>#VALUE!</v>
      </c>
      <c r="M20" s="90" t="str">
        <f t="shared" si="11"/>
        <v/>
      </c>
      <c r="N20" s="162" t="e">
        <f t="shared" si="5"/>
        <v>#VALUE!</v>
      </c>
      <c r="O20" s="158" t="e">
        <f t="shared" si="12"/>
        <v>#DIV/0!</v>
      </c>
      <c r="P20" s="9" t="e">
        <f t="shared" si="6"/>
        <v>#DIV/0!</v>
      </c>
      <c r="R20" s="225" t="s">
        <v>110</v>
      </c>
      <c r="S20" s="23" t="str">
        <f t="shared" si="13"/>
        <v>N</v>
      </c>
      <c r="T20" s="159" t="str">
        <f t="shared" si="14"/>
        <v/>
      </c>
      <c r="U20" s="6"/>
      <c r="W20" s="10"/>
      <c r="AB20" s="6"/>
    </row>
    <row r="21" spans="2:28" ht="15" customHeight="1" x14ac:dyDescent="0.25">
      <c r="B21" s="33" t="s">
        <v>111</v>
      </c>
      <c r="C21" s="156" t="str">
        <f t="shared" si="7"/>
        <v/>
      </c>
      <c r="D21" s="157" t="e">
        <f>(C21*$G11)/$N$9</f>
        <v>#VALUE!</v>
      </c>
      <c r="E21" s="214" t="str">
        <f t="shared" si="0"/>
        <v/>
      </c>
      <c r="F21" s="194" t="e">
        <f t="shared" si="1"/>
        <v>#VALUE!</v>
      </c>
      <c r="G21" s="233" t="e">
        <f t="shared" si="8"/>
        <v>#DIV/0!</v>
      </c>
      <c r="H21" s="161" t="e">
        <f t="shared" si="2"/>
        <v>#DIV/0!</v>
      </c>
      <c r="I21" s="156" t="str">
        <f t="shared" si="9"/>
        <v/>
      </c>
      <c r="J21" s="157" t="e">
        <f t="shared" si="3"/>
        <v>#VALUE!</v>
      </c>
      <c r="K21" s="156" t="str">
        <f t="shared" si="10"/>
        <v/>
      </c>
      <c r="L21" s="157" t="e">
        <f t="shared" si="4"/>
        <v>#VALUE!</v>
      </c>
      <c r="M21" s="156" t="str">
        <f t="shared" si="11"/>
        <v/>
      </c>
      <c r="N21" s="157" t="e">
        <f t="shared" si="5"/>
        <v>#VALUE!</v>
      </c>
      <c r="O21" s="160" t="e">
        <f t="shared" si="12"/>
        <v>#DIV/0!</v>
      </c>
      <c r="P21" s="46" t="e">
        <f t="shared" si="6"/>
        <v>#DIV/0!</v>
      </c>
      <c r="Q21" s="24"/>
      <c r="R21" s="226" t="s">
        <v>111</v>
      </c>
      <c r="S21" s="80" t="str">
        <f t="shared" si="13"/>
        <v>N</v>
      </c>
      <c r="T21" s="161" t="str">
        <f t="shared" si="14"/>
        <v/>
      </c>
      <c r="U21" s="6"/>
      <c r="W21" s="10"/>
      <c r="AB21" s="11"/>
    </row>
    <row r="22" spans="2:28" x14ac:dyDescent="0.25">
      <c r="N22" s="22"/>
      <c r="O22" s="25"/>
      <c r="P22" s="143"/>
      <c r="Q22" s="143"/>
      <c r="AB22" s="6"/>
    </row>
    <row r="23" spans="2:28" x14ac:dyDescent="0.25">
      <c r="C23" s="418" t="s">
        <v>105</v>
      </c>
      <c r="D23" s="420"/>
      <c r="E23" s="420"/>
      <c r="F23" s="420"/>
      <c r="G23" s="420"/>
      <c r="H23" s="420"/>
      <c r="I23" s="420"/>
      <c r="J23" s="420"/>
      <c r="K23" s="420"/>
      <c r="L23" s="420"/>
      <c r="M23" s="420"/>
      <c r="N23" s="420"/>
      <c r="O23" s="420"/>
      <c r="P23" s="420"/>
      <c r="Q23" s="420"/>
      <c r="R23" s="420"/>
      <c r="S23" s="420"/>
      <c r="T23" s="420"/>
      <c r="U23" s="420"/>
      <c r="V23" s="419"/>
      <c r="AB23" s="11"/>
    </row>
    <row r="24" spans="2:28" x14ac:dyDescent="0.25">
      <c r="B24" s="6"/>
      <c r="C24" s="451" t="s">
        <v>107</v>
      </c>
      <c r="D24" s="452"/>
      <c r="E24" s="451" t="s">
        <v>123</v>
      </c>
      <c r="F24" s="452"/>
      <c r="G24" s="451" t="s">
        <v>124</v>
      </c>
      <c r="H24" s="452" t="s">
        <v>143</v>
      </c>
      <c r="I24" s="451" t="s">
        <v>124</v>
      </c>
      <c r="J24" s="452" t="s">
        <v>144</v>
      </c>
      <c r="K24" s="451" t="s">
        <v>201</v>
      </c>
      <c r="L24" s="452"/>
      <c r="M24" s="451" t="s">
        <v>147</v>
      </c>
      <c r="N24" s="452"/>
      <c r="O24" s="451" t="s">
        <v>149</v>
      </c>
      <c r="P24" s="452"/>
      <c r="Q24" s="429" t="s">
        <v>148</v>
      </c>
      <c r="R24" s="450"/>
      <c r="S24" s="92" t="s">
        <v>145</v>
      </c>
      <c r="T24" s="429" t="s">
        <v>148</v>
      </c>
      <c r="U24" s="450"/>
      <c r="V24" s="92" t="s">
        <v>45</v>
      </c>
      <c r="AB24" s="6"/>
    </row>
    <row r="25" spans="2:28" x14ac:dyDescent="0.25">
      <c r="C25" s="453"/>
      <c r="D25" s="454"/>
      <c r="E25" s="453"/>
      <c r="F25" s="454"/>
      <c r="G25" s="453"/>
      <c r="H25" s="454"/>
      <c r="I25" s="453"/>
      <c r="J25" s="454"/>
      <c r="K25" s="453"/>
      <c r="L25" s="454"/>
      <c r="M25" s="453"/>
      <c r="N25" s="454"/>
      <c r="O25" s="453"/>
      <c r="P25" s="454"/>
      <c r="Q25" s="28" t="s">
        <v>46</v>
      </c>
      <c r="R25" s="145" t="s">
        <v>47</v>
      </c>
      <c r="S25" s="29" t="s">
        <v>106</v>
      </c>
      <c r="T25" s="28" t="s">
        <v>46</v>
      </c>
      <c r="U25" s="145" t="s">
        <v>47</v>
      </c>
      <c r="V25" s="29" t="s">
        <v>106</v>
      </c>
      <c r="AB25" s="11"/>
    </row>
    <row r="26" spans="2:28" x14ac:dyDescent="0.25">
      <c r="C26" s="28" t="s">
        <v>17</v>
      </c>
      <c r="D26" s="29" t="s">
        <v>11</v>
      </c>
      <c r="E26" s="28" t="s">
        <v>17</v>
      </c>
      <c r="F26" s="29" t="s">
        <v>11</v>
      </c>
      <c r="G26" s="28" t="s">
        <v>17</v>
      </c>
      <c r="H26" s="29" t="s">
        <v>11</v>
      </c>
      <c r="I26" s="28" t="s">
        <v>17</v>
      </c>
      <c r="J26" s="29" t="s">
        <v>11</v>
      </c>
      <c r="K26" s="28" t="s">
        <v>17</v>
      </c>
      <c r="L26" s="29" t="s">
        <v>11</v>
      </c>
      <c r="M26" s="28" t="s">
        <v>17</v>
      </c>
      <c r="N26" s="29" t="s">
        <v>11</v>
      </c>
      <c r="O26" s="28" t="s">
        <v>17</v>
      </c>
      <c r="P26" s="29" t="s">
        <v>11</v>
      </c>
      <c r="Q26" s="28" t="s">
        <v>17</v>
      </c>
      <c r="R26" s="145" t="s">
        <v>17</v>
      </c>
      <c r="S26" s="29" t="s">
        <v>11</v>
      </c>
      <c r="T26" s="28" t="s">
        <v>17</v>
      </c>
      <c r="U26" s="145" t="s">
        <v>17</v>
      </c>
      <c r="V26" s="29" t="s">
        <v>11</v>
      </c>
      <c r="AB26" s="6"/>
    </row>
    <row r="27" spans="2:28" ht="15" customHeight="1" x14ac:dyDescent="0.35">
      <c r="B27" s="6" t="s">
        <v>18</v>
      </c>
      <c r="C27" s="34">
        <v>0.3</v>
      </c>
      <c r="D27" s="8"/>
      <c r="E27" s="34">
        <v>0.3</v>
      </c>
      <c r="F27" s="8"/>
      <c r="G27" s="34">
        <v>0.22</v>
      </c>
      <c r="H27" s="8"/>
      <c r="I27" s="141">
        <v>2.1999999999999999E-2</v>
      </c>
      <c r="J27" s="35"/>
      <c r="K27" s="34">
        <v>1.4999999999999999E-2</v>
      </c>
      <c r="L27" s="8"/>
      <c r="M27" s="7">
        <v>1.4999999999999999E-2</v>
      </c>
      <c r="N27" s="8"/>
      <c r="O27" s="7">
        <v>1.4999999999999999E-2</v>
      </c>
      <c r="P27" s="8"/>
      <c r="Q27" s="34">
        <v>7.4999999999999997E-2</v>
      </c>
      <c r="R27" s="146">
        <v>7.4999999999999997E-2</v>
      </c>
      <c r="S27" s="8"/>
      <c r="T27" s="34">
        <v>2.1999999999999999E-2</v>
      </c>
      <c r="U27" s="146">
        <v>0.03</v>
      </c>
      <c r="V27" s="8"/>
    </row>
    <row r="28" spans="2:28" ht="18" customHeight="1" x14ac:dyDescent="0.35">
      <c r="B28" s="6" t="s">
        <v>19</v>
      </c>
      <c r="C28" s="34">
        <v>0.3</v>
      </c>
      <c r="D28" s="8"/>
      <c r="E28" s="34">
        <v>0.3</v>
      </c>
      <c r="F28" s="8"/>
      <c r="G28" s="34">
        <v>0.22</v>
      </c>
      <c r="H28" s="8"/>
      <c r="I28" s="7">
        <v>2.1999999999999999E-2</v>
      </c>
      <c r="J28" s="8"/>
      <c r="K28" s="34">
        <v>1.4999999999999999E-2</v>
      </c>
      <c r="L28" s="8"/>
      <c r="M28" s="7">
        <v>1.4999999999999999E-2</v>
      </c>
      <c r="N28" s="8"/>
      <c r="O28" s="7">
        <v>1.4999999999999999E-2</v>
      </c>
      <c r="P28" s="8"/>
      <c r="Q28" s="34">
        <v>7.4999999999999997E-2</v>
      </c>
      <c r="R28" s="146">
        <v>7.4999999999999997E-2</v>
      </c>
      <c r="S28" s="8"/>
      <c r="T28" s="34">
        <v>2.1999999999999999E-2</v>
      </c>
      <c r="U28" s="146">
        <v>0.03</v>
      </c>
      <c r="V28" s="8"/>
      <c r="W28" s="10"/>
      <c r="Y28" s="11"/>
      <c r="Z28" s="10"/>
    </row>
    <row r="29" spans="2:28" x14ac:dyDescent="0.25">
      <c r="B29" s="6" t="s">
        <v>26</v>
      </c>
      <c r="C29" s="187"/>
      <c r="D29" s="188">
        <f>6.943*0.000015*2</f>
        <v>2.0829E-4</v>
      </c>
      <c r="E29" s="187"/>
      <c r="F29" s="188">
        <f>6.943*0.000015*2</f>
        <v>2.0829E-4</v>
      </c>
      <c r="G29" s="187"/>
      <c r="H29" s="188">
        <f>6.943*0.000015*2</f>
        <v>2.0829E-4</v>
      </c>
      <c r="I29" s="7"/>
      <c r="J29" s="188">
        <f>6.943*0.000015*2</f>
        <v>2.0829E-4</v>
      </c>
      <c r="K29" s="187"/>
      <c r="L29" s="188">
        <f>6.943*0.000015*2</f>
        <v>2.0829E-4</v>
      </c>
      <c r="M29" s="140"/>
      <c r="N29" s="188">
        <f>6.943*0.000015*2</f>
        <v>2.0829E-4</v>
      </c>
      <c r="O29" s="140"/>
      <c r="P29" s="188">
        <f>6.943*0.000015*2</f>
        <v>2.0829E-4</v>
      </c>
      <c r="Q29" s="140"/>
      <c r="R29" s="81"/>
      <c r="S29" s="188">
        <f>6.943*0.000015*2</f>
        <v>2.0829E-4</v>
      </c>
      <c r="T29" s="140"/>
      <c r="U29" s="81"/>
      <c r="V29" s="188">
        <f>6.943*0.000015*2</f>
        <v>2.0829E-4</v>
      </c>
      <c r="W29" s="23"/>
      <c r="Y29" s="11"/>
      <c r="Z29" s="10"/>
      <c r="AA29" s="10"/>
    </row>
    <row r="30" spans="2:28" x14ac:dyDescent="0.25">
      <c r="B30" s="6" t="s">
        <v>34</v>
      </c>
      <c r="C30" s="34">
        <f>0.95*5.6</f>
        <v>5.3199999999999994</v>
      </c>
      <c r="D30" s="8"/>
      <c r="E30" s="34">
        <f>0.95*5.6</f>
        <v>5.3199999999999994</v>
      </c>
      <c r="F30" s="8"/>
      <c r="G30" s="34">
        <f>0.95*5.6</f>
        <v>5.3199999999999994</v>
      </c>
      <c r="H30" s="8"/>
      <c r="I30" s="7">
        <f>0.95*3.5</f>
        <v>3.3249999999999997</v>
      </c>
      <c r="J30" s="8"/>
      <c r="K30" s="34">
        <v>0.3</v>
      </c>
      <c r="L30" s="8"/>
      <c r="M30" s="34">
        <v>0.3</v>
      </c>
      <c r="N30" s="8"/>
      <c r="O30" s="34">
        <v>0.3</v>
      </c>
      <c r="P30" s="8"/>
      <c r="Q30" s="34">
        <v>0.5</v>
      </c>
      <c r="R30" s="146">
        <v>2.6</v>
      </c>
      <c r="S30" s="8"/>
      <c r="T30" s="34">
        <v>0.5</v>
      </c>
      <c r="U30" s="146">
        <v>2.6</v>
      </c>
      <c r="V30" s="8"/>
      <c r="W30" s="24"/>
      <c r="X30" s="235"/>
      <c r="Y30" s="235"/>
      <c r="AA30" s="6"/>
    </row>
    <row r="31" spans="2:28" x14ac:dyDescent="0.25">
      <c r="B31" s="6" t="s">
        <v>21</v>
      </c>
      <c r="C31" s="34">
        <f>0.05*5.6</f>
        <v>0.27999999999999997</v>
      </c>
      <c r="D31" s="8"/>
      <c r="E31" s="34">
        <f>0.05*5.6</f>
        <v>0.27999999999999997</v>
      </c>
      <c r="F31" s="8"/>
      <c r="G31" s="34">
        <f>0.05*5.6</f>
        <v>0.27999999999999997</v>
      </c>
      <c r="H31" s="8"/>
      <c r="I31" s="7">
        <f>0.05*3.5</f>
        <v>0.17500000000000002</v>
      </c>
      <c r="J31" s="8"/>
      <c r="K31" s="34">
        <v>0.14000000000000001</v>
      </c>
      <c r="L31" s="8"/>
      <c r="M31" s="7">
        <v>0.14000000000000001</v>
      </c>
      <c r="N31" s="8"/>
      <c r="O31" s="7">
        <v>0.14000000000000001</v>
      </c>
      <c r="P31" s="8"/>
      <c r="Q31" s="34">
        <v>0.3</v>
      </c>
      <c r="R31" s="146">
        <v>0.3</v>
      </c>
      <c r="S31" s="8"/>
      <c r="T31" s="34">
        <v>0.14000000000000001</v>
      </c>
      <c r="U31" s="146">
        <v>0.14000000000000001</v>
      </c>
      <c r="V31" s="8"/>
      <c r="W31" s="25"/>
      <c r="AA31" s="10"/>
    </row>
    <row r="32" spans="2:28" x14ac:dyDescent="0.25">
      <c r="B32" s="6" t="s">
        <v>22</v>
      </c>
      <c r="C32" s="34">
        <v>6</v>
      </c>
      <c r="D32" s="8"/>
      <c r="E32" s="34">
        <v>4.9000000000000004</v>
      </c>
      <c r="F32" s="8"/>
      <c r="G32" s="34">
        <v>4.0999999999999996</v>
      </c>
      <c r="H32" s="8"/>
      <c r="I32" s="7">
        <v>4.0999999999999996</v>
      </c>
      <c r="J32" s="8"/>
      <c r="K32" s="34">
        <v>3.7</v>
      </c>
      <c r="L32" s="8"/>
      <c r="M32" s="34">
        <v>2.6</v>
      </c>
      <c r="N32" s="8"/>
      <c r="O32" s="34">
        <v>2.6</v>
      </c>
      <c r="P32" s="8"/>
      <c r="Q32" s="34">
        <v>2.6</v>
      </c>
      <c r="R32" s="146">
        <v>2.6</v>
      </c>
      <c r="S32" s="8"/>
      <c r="T32" s="34">
        <v>2.6</v>
      </c>
      <c r="U32" s="146">
        <v>2.6</v>
      </c>
      <c r="V32" s="8"/>
      <c r="Y32" s="11"/>
      <c r="AA32" s="10"/>
    </row>
    <row r="33" spans="2:28" x14ac:dyDescent="0.25">
      <c r="B33" s="6" t="s">
        <v>23</v>
      </c>
      <c r="C33" s="16"/>
      <c r="D33" s="17">
        <f>'Tier 0'!$T$18</f>
        <v>5.3843040000000003E-4</v>
      </c>
      <c r="E33" s="16"/>
      <c r="F33" s="17">
        <f>'Tier 0'!$T$18</f>
        <v>5.3843040000000003E-4</v>
      </c>
      <c r="G33" s="16"/>
      <c r="H33" s="17">
        <f>'Tier 0'!$T$18</f>
        <v>5.3843040000000003E-4</v>
      </c>
      <c r="I33" s="27"/>
      <c r="J33" s="17">
        <f>'Tier 0'!$T$18</f>
        <v>5.3843040000000003E-4</v>
      </c>
      <c r="K33" s="16"/>
      <c r="L33" s="17">
        <f>'Tier 0'!$T$18</f>
        <v>5.3843040000000003E-4</v>
      </c>
      <c r="M33" s="16"/>
      <c r="N33" s="17">
        <f>'Tier 0'!T18</f>
        <v>5.3843040000000003E-4</v>
      </c>
      <c r="O33" s="16"/>
      <c r="P33" s="17">
        <f>'Tier 0'!T27</f>
        <v>2.1878322E-4</v>
      </c>
      <c r="Q33" s="16"/>
      <c r="R33" s="18"/>
      <c r="S33" s="17">
        <f>'Tier 0'!T27</f>
        <v>2.1878322E-4</v>
      </c>
      <c r="T33" s="16"/>
      <c r="U33" s="18"/>
      <c r="V33" s="17">
        <f>'Tier 0'!T27</f>
        <v>2.1878322E-4</v>
      </c>
      <c r="AA33" s="10"/>
    </row>
    <row r="34" spans="2:28" x14ac:dyDescent="0.25">
      <c r="O34" s="22"/>
      <c r="P34" s="6"/>
      <c r="Q34" s="10"/>
      <c r="T34" s="11"/>
      <c r="W34" s="81"/>
      <c r="Y34" s="11"/>
      <c r="AA34" s="10"/>
    </row>
    <row r="35" spans="2:28" x14ac:dyDescent="0.25">
      <c r="O35" s="22"/>
      <c r="P35" s="6"/>
      <c r="AA35" s="10"/>
    </row>
    <row r="36" spans="2:28" ht="18" customHeight="1" x14ac:dyDescent="0.25">
      <c r="C36" s="6"/>
      <c r="D36" s="6"/>
      <c r="E36" s="6"/>
      <c r="F36" s="6"/>
      <c r="G36" s="6"/>
      <c r="H36" s="6"/>
      <c r="I36" s="6"/>
      <c r="J36" s="6"/>
      <c r="K36" s="6"/>
      <c r="L36" s="6"/>
      <c r="M36" s="6"/>
      <c r="N36" s="6"/>
      <c r="O36" s="6"/>
      <c r="P36" s="6"/>
      <c r="Q36" s="6"/>
      <c r="R36" s="6"/>
      <c r="S36" s="6"/>
      <c r="T36" s="6"/>
    </row>
    <row r="37" spans="2:28" ht="16.5" customHeight="1" x14ac:dyDescent="0.25">
      <c r="I37" s="6"/>
      <c r="J37" s="6"/>
      <c r="M37" s="6"/>
      <c r="N37" s="6"/>
      <c r="O37" s="6"/>
      <c r="P37" s="6"/>
      <c r="Q37" s="6"/>
      <c r="R37" s="6"/>
      <c r="S37" s="6"/>
      <c r="T37" s="6"/>
    </row>
    <row r="38" spans="2:28" ht="18" customHeight="1" x14ac:dyDescent="0.25">
      <c r="I38" s="25"/>
      <c r="J38" s="25"/>
      <c r="M38" s="143"/>
      <c r="N38" s="143"/>
      <c r="O38" s="143"/>
      <c r="P38" s="143"/>
      <c r="Q38" s="143"/>
      <c r="R38" s="143"/>
      <c r="S38" s="143"/>
      <c r="T38" s="143"/>
    </row>
    <row r="39" spans="2:28" x14ac:dyDescent="0.25">
      <c r="I39" s="146"/>
      <c r="M39" s="146"/>
      <c r="O39" s="146"/>
      <c r="Q39" s="146"/>
      <c r="S39" s="146"/>
    </row>
    <row r="40" spans="2:28" x14ac:dyDescent="0.25">
      <c r="I40" s="146"/>
      <c r="M40" s="146"/>
      <c r="O40" s="146"/>
      <c r="Q40" s="146"/>
      <c r="S40" s="146"/>
    </row>
    <row r="41" spans="2:28" x14ac:dyDescent="0.25">
      <c r="E41" s="6"/>
      <c r="I41" s="189"/>
      <c r="J41" s="190"/>
      <c r="M41" s="189"/>
      <c r="N41" s="190"/>
      <c r="O41" s="189"/>
      <c r="P41" s="190"/>
      <c r="Q41" s="189"/>
      <c r="R41" s="190"/>
      <c r="S41" s="189"/>
      <c r="T41" s="190"/>
      <c r="AB41" s="10"/>
    </row>
    <row r="42" spans="2:28" x14ac:dyDescent="0.25">
      <c r="I42" s="146"/>
      <c r="M42" s="146"/>
      <c r="O42" s="146"/>
      <c r="Q42" s="146"/>
      <c r="S42" s="146"/>
      <c r="V42" s="22"/>
      <c r="W42" s="6"/>
      <c r="X42" s="10"/>
      <c r="Y42" s="10"/>
    </row>
    <row r="43" spans="2:28" x14ac:dyDescent="0.25">
      <c r="I43" s="146"/>
      <c r="M43" s="146"/>
      <c r="O43" s="146"/>
      <c r="Q43" s="146"/>
      <c r="S43" s="146"/>
      <c r="X43" s="23"/>
      <c r="Y43" s="23"/>
    </row>
    <row r="44" spans="2:28" ht="18" customHeight="1" x14ac:dyDescent="0.25">
      <c r="I44" s="146"/>
      <c r="M44" s="146"/>
      <c r="O44" s="146"/>
      <c r="Q44" s="146"/>
      <c r="S44" s="146"/>
      <c r="W44" s="6"/>
      <c r="X44" s="24"/>
      <c r="Y44" s="24"/>
    </row>
    <row r="45" spans="2:28" ht="42.75" customHeight="1" x14ac:dyDescent="0.25">
      <c r="I45" s="10"/>
      <c r="J45" s="10"/>
      <c r="M45" s="10"/>
      <c r="N45" s="10"/>
      <c r="O45" s="10"/>
      <c r="P45" s="10"/>
      <c r="Q45" s="10"/>
      <c r="R45" s="10"/>
      <c r="S45" s="10"/>
      <c r="T45" s="10"/>
      <c r="X45" s="25"/>
      <c r="Y45" s="25"/>
    </row>
    <row r="46" spans="2:28" ht="80.25" customHeight="1" x14ac:dyDescent="0.25">
      <c r="V46" s="22"/>
      <c r="W46" s="6"/>
    </row>
    <row r="47" spans="2:28" x14ac:dyDescent="0.25">
      <c r="V47" s="22"/>
      <c r="W47" s="6"/>
    </row>
    <row r="48" spans="2:28" x14ac:dyDescent="0.25">
      <c r="V48" s="22"/>
      <c r="W48" s="6"/>
      <c r="X48" s="81"/>
      <c r="Y48" s="81"/>
    </row>
    <row r="49" spans="22:25" x14ac:dyDescent="0.25">
      <c r="V49" s="22"/>
      <c r="W49" s="6"/>
    </row>
    <row r="50" spans="22:25" x14ac:dyDescent="0.25">
      <c r="V50" s="22"/>
      <c r="W50" s="6"/>
    </row>
    <row r="51" spans="22:25" x14ac:dyDescent="0.25">
      <c r="V51" s="22"/>
      <c r="W51" s="6"/>
    </row>
    <row r="52" spans="22:25" x14ac:dyDescent="0.25">
      <c r="V52" s="22"/>
      <c r="W52" s="6"/>
      <c r="X52" s="10"/>
      <c r="Y52" s="10"/>
    </row>
    <row r="53" spans="22:25" x14ac:dyDescent="0.25">
      <c r="X53" s="23"/>
      <c r="Y53" s="23"/>
    </row>
    <row r="54" spans="22:25" x14ac:dyDescent="0.25">
      <c r="W54" s="6"/>
      <c r="X54" s="24"/>
      <c r="Y54" s="24"/>
    </row>
    <row r="55" spans="22:25" x14ac:dyDescent="0.25">
      <c r="X55" s="25"/>
      <c r="Y55" s="25"/>
    </row>
    <row r="56" spans="22:25" ht="80.25" customHeight="1" x14ac:dyDescent="0.25">
      <c r="V56" s="22"/>
      <c r="W56" s="6"/>
    </row>
    <row r="57" spans="22:25" x14ac:dyDescent="0.25">
      <c r="V57" s="22"/>
      <c r="W57" s="6"/>
    </row>
    <row r="58" spans="22:25" x14ac:dyDescent="0.25">
      <c r="V58" s="22"/>
      <c r="W58" s="6"/>
      <c r="X58" s="81"/>
      <c r="Y58" s="81"/>
    </row>
    <row r="59" spans="22:25" x14ac:dyDescent="0.25">
      <c r="V59" s="22"/>
      <c r="W59" s="6"/>
    </row>
    <row r="60" spans="22:25" x14ac:dyDescent="0.25">
      <c r="V60" s="22"/>
      <c r="W60" s="6"/>
    </row>
    <row r="61" spans="22:25" x14ac:dyDescent="0.25">
      <c r="V61" s="22"/>
      <c r="W61" s="6"/>
    </row>
    <row r="62" spans="22:25" x14ac:dyDescent="0.25">
      <c r="V62" s="22"/>
      <c r="W62" s="6"/>
      <c r="X62" s="10"/>
      <c r="Y62" s="10"/>
    </row>
    <row r="63" spans="22:25" x14ac:dyDescent="0.25">
      <c r="X63" s="23"/>
      <c r="Y63" s="23"/>
    </row>
    <row r="64" spans="22:25" x14ac:dyDescent="0.25">
      <c r="W64" s="6"/>
      <c r="X64" s="24"/>
      <c r="Y64" s="24"/>
    </row>
    <row r="65" spans="22:25" x14ac:dyDescent="0.25">
      <c r="X65" s="25"/>
      <c r="Y65" s="25"/>
    </row>
    <row r="66" spans="22:25" ht="80.25" customHeight="1" x14ac:dyDescent="0.25">
      <c r="V66" s="22"/>
      <c r="W66" s="6"/>
    </row>
    <row r="67" spans="22:25" x14ac:dyDescent="0.25">
      <c r="V67" s="22"/>
      <c r="W67" s="6"/>
    </row>
    <row r="68" spans="22:25" x14ac:dyDescent="0.25">
      <c r="V68" s="22"/>
      <c r="W68" s="6"/>
      <c r="X68" s="81"/>
      <c r="Y68" s="81"/>
    </row>
    <row r="69" spans="22:25" x14ac:dyDescent="0.25">
      <c r="V69" s="22"/>
      <c r="W69" s="6"/>
    </row>
    <row r="70" spans="22:25" x14ac:dyDescent="0.25">
      <c r="V70" s="22"/>
      <c r="W70" s="6"/>
    </row>
    <row r="71" spans="22:25" x14ac:dyDescent="0.25">
      <c r="V71" s="22"/>
      <c r="W71" s="6"/>
    </row>
    <row r="72" spans="22:25" x14ac:dyDescent="0.25">
      <c r="V72" s="22"/>
      <c r="W72" s="6"/>
      <c r="X72" s="10"/>
      <c r="Y72" s="10"/>
    </row>
    <row r="73" spans="22:25" x14ac:dyDescent="0.25">
      <c r="X73" s="23"/>
    </row>
    <row r="74" spans="22:25" x14ac:dyDescent="0.25">
      <c r="X74" s="25"/>
      <c r="Y74" s="25"/>
    </row>
    <row r="75" spans="22:25" ht="80.25" customHeight="1" x14ac:dyDescent="0.25">
      <c r="V75" s="22"/>
      <c r="W75" s="6"/>
    </row>
    <row r="76" spans="22:25" x14ac:dyDescent="0.25">
      <c r="V76" s="22"/>
      <c r="W76" s="6"/>
    </row>
    <row r="77" spans="22:25" x14ac:dyDescent="0.25">
      <c r="V77" s="22"/>
      <c r="W77" s="6"/>
      <c r="X77" s="81"/>
      <c r="Y77" s="81"/>
    </row>
    <row r="78" spans="22:25" x14ac:dyDescent="0.25">
      <c r="V78" s="22"/>
      <c r="W78" s="6"/>
    </row>
    <row r="79" spans="22:25" x14ac:dyDescent="0.25">
      <c r="V79" s="22"/>
      <c r="W79" s="6"/>
    </row>
    <row r="80" spans="22:25" x14ac:dyDescent="0.25">
      <c r="V80" s="22"/>
      <c r="W80" s="6"/>
    </row>
    <row r="81" spans="22:25" x14ac:dyDescent="0.25">
      <c r="V81" s="22"/>
      <c r="W81" s="6"/>
      <c r="X81" s="10"/>
      <c r="Y81" s="10"/>
    </row>
    <row r="82" spans="22:25" x14ac:dyDescent="0.25">
      <c r="V82" s="11"/>
      <c r="W82" s="6"/>
      <c r="X82" s="24"/>
      <c r="Y82" s="24"/>
    </row>
    <row r="83" spans="22:25" x14ac:dyDescent="0.25">
      <c r="V83" s="11"/>
      <c r="W83" s="6"/>
      <c r="X83" s="25"/>
      <c r="Y83" s="25"/>
    </row>
    <row r="84" spans="22:25" ht="42.75" customHeight="1" x14ac:dyDescent="0.25">
      <c r="V84" s="22"/>
      <c r="W84" s="6"/>
    </row>
    <row r="85" spans="22:25" x14ac:dyDescent="0.25">
      <c r="V85" s="22"/>
      <c r="W85" s="6"/>
    </row>
    <row r="86" spans="22:25" x14ac:dyDescent="0.25">
      <c r="V86" s="22"/>
      <c r="W86" s="6"/>
      <c r="X86" s="81"/>
      <c r="Y86" s="81"/>
    </row>
    <row r="87" spans="22:25" x14ac:dyDescent="0.25">
      <c r="V87" s="22"/>
      <c r="W87" s="6"/>
    </row>
    <row r="88" spans="22:25" x14ac:dyDescent="0.25">
      <c r="V88" s="22"/>
      <c r="W88" s="6"/>
    </row>
    <row r="89" spans="22:25" x14ac:dyDescent="0.25">
      <c r="V89" s="22"/>
      <c r="W89" s="6"/>
    </row>
    <row r="90" spans="22:25" x14ac:dyDescent="0.25">
      <c r="V90" s="22"/>
      <c r="W90" s="6"/>
      <c r="X90" s="10"/>
      <c r="Y90" s="10"/>
    </row>
  </sheetData>
  <sheetProtection algorithmName="SHA-512" hashValue="BujX2SstlfiIzHcKaF18jWbJpyZJrSkM3cTf8cy3xCLgLaqdCQfra02tKIyBPia2LhYJRPURd57HeLq8PTyl0g==" saltValue="wk2Z3ZE/CLF3B31uk38x3A==" spinCount="100000" sheet="1" objects="1" scenarios="1"/>
  <mergeCells count="33">
    <mergeCell ref="T24:U24"/>
    <mergeCell ref="O24:P25"/>
    <mergeCell ref="C23:V23"/>
    <mergeCell ref="N3:R3"/>
    <mergeCell ref="R14:T14"/>
    <mergeCell ref="N6:Q6"/>
    <mergeCell ref="O14:P14"/>
    <mergeCell ref="C24:D25"/>
    <mergeCell ref="E24:F25"/>
    <mergeCell ref="K24:L25"/>
    <mergeCell ref="M24:N25"/>
    <mergeCell ref="Q24:R24"/>
    <mergeCell ref="G24:G25"/>
    <mergeCell ref="H24:H25"/>
    <mergeCell ref="I24:I25"/>
    <mergeCell ref="J24:J25"/>
    <mergeCell ref="C4:C5"/>
    <mergeCell ref="D4:D5"/>
    <mergeCell ref="E4:E5"/>
    <mergeCell ref="F4:F5"/>
    <mergeCell ref="K2:L4"/>
    <mergeCell ref="N8:O8"/>
    <mergeCell ref="N4:Q4"/>
    <mergeCell ref="N5:Q5"/>
    <mergeCell ref="J2:J5"/>
    <mergeCell ref="G4:G5"/>
    <mergeCell ref="H4:H5"/>
    <mergeCell ref="M14:N14"/>
    <mergeCell ref="C14:D14"/>
    <mergeCell ref="E14:F14"/>
    <mergeCell ref="G14:H14"/>
    <mergeCell ref="I14:J14"/>
    <mergeCell ref="K14:L14"/>
  </mergeCells>
  <pageMargins left="0.7" right="0.7" top="0.75" bottom="0.75" header="0.3" footer="0.3"/>
  <pageSetup orientation="portrait" r:id="rId1"/>
  <ignoredErrors>
    <ignoredError sqref="D17:H21 J17:J21 L17:L21 N17:N21 P17:P21" evalError="1"/>
    <ignoredError sqref="O17:O21" evalError="1" formula="1"/>
    <ignoredError sqref="I16:I21 K16:K21 M16:M21"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B48D-B0ED-4798-99B1-E3DCB3F00D2B}">
  <sheetPr>
    <tabColor rgb="FFFED860"/>
  </sheetPr>
  <dimension ref="B1:AG44"/>
  <sheetViews>
    <sheetView workbookViewId="0">
      <selection activeCell="G23" sqref="G23"/>
    </sheetView>
  </sheetViews>
  <sheetFormatPr defaultRowHeight="15" x14ac:dyDescent="0.25"/>
  <cols>
    <col min="2" max="3" width="20.42578125" customWidth="1"/>
    <col min="4" max="4" width="13.140625" customWidth="1"/>
    <col min="5" max="5" width="12.5703125" customWidth="1"/>
    <col min="7" max="7" width="13.42578125" customWidth="1"/>
    <col min="8" max="8" width="9.7109375" customWidth="1"/>
    <col min="9" max="28" width="5.85546875" customWidth="1"/>
    <col min="30" max="30" width="6.28515625" customWidth="1"/>
    <col min="31" max="31" width="7.5703125" customWidth="1"/>
    <col min="32" max="32" width="7.85546875" customWidth="1"/>
    <col min="33" max="33" width="8.140625" customWidth="1"/>
    <col min="34" max="34" width="6.42578125" customWidth="1"/>
  </cols>
  <sheetData>
    <row r="1" spans="2:33" ht="15.75" thickBot="1" x14ac:dyDescent="0.3"/>
    <row r="2" spans="2:33" ht="15.75" thickBot="1" x14ac:dyDescent="0.3">
      <c r="B2" s="455" t="s">
        <v>177</v>
      </c>
      <c r="C2" s="456"/>
      <c r="D2" s="457"/>
      <c r="H2" s="6" t="s">
        <v>159</v>
      </c>
      <c r="I2" s="6">
        <v>1996</v>
      </c>
      <c r="J2" s="6">
        <v>1997</v>
      </c>
      <c r="K2" s="6">
        <v>1998</v>
      </c>
      <c r="L2" s="6">
        <v>1999</v>
      </c>
      <c r="M2" s="6">
        <v>2000</v>
      </c>
      <c r="N2" s="6">
        <v>2001</v>
      </c>
      <c r="O2" s="6">
        <v>2002</v>
      </c>
      <c r="P2" s="6">
        <v>2003</v>
      </c>
      <c r="Q2" s="6">
        <v>2004</v>
      </c>
      <c r="R2" s="6">
        <v>2005</v>
      </c>
      <c r="S2" s="6">
        <v>2006</v>
      </c>
      <c r="T2" s="6">
        <v>2007</v>
      </c>
      <c r="U2" s="6">
        <v>2008</v>
      </c>
      <c r="V2" s="6">
        <v>2009</v>
      </c>
      <c r="W2" s="6">
        <v>2010</v>
      </c>
      <c r="X2" s="6">
        <v>2011</v>
      </c>
      <c r="Y2" s="6">
        <v>2012</v>
      </c>
      <c r="Z2" s="6">
        <v>2013</v>
      </c>
      <c r="AA2" s="6">
        <v>2014</v>
      </c>
      <c r="AB2" s="6">
        <v>2015</v>
      </c>
      <c r="AC2" s="6" t="s">
        <v>160</v>
      </c>
    </row>
    <row r="3" spans="2:33" x14ac:dyDescent="0.25">
      <c r="B3" s="6" t="s">
        <v>15</v>
      </c>
      <c r="C3" s="6" t="s">
        <v>68</v>
      </c>
      <c r="D3" s="6" t="s">
        <v>155</v>
      </c>
      <c r="E3" s="6" t="s">
        <v>156</v>
      </c>
      <c r="G3" s="6" t="s">
        <v>107</v>
      </c>
      <c r="H3" s="247"/>
      <c r="I3" s="247"/>
      <c r="J3" s="247"/>
      <c r="K3" s="247"/>
      <c r="L3" s="247"/>
      <c r="M3" s="249"/>
      <c r="N3" s="249"/>
      <c r="O3" s="249"/>
      <c r="P3" s="249"/>
      <c r="Q3" s="249"/>
      <c r="R3" s="250"/>
      <c r="S3" s="250"/>
      <c r="T3" s="250"/>
      <c r="U3" s="251"/>
      <c r="V3" s="251"/>
      <c r="W3" s="251"/>
      <c r="X3" s="251"/>
      <c r="Y3" s="251"/>
      <c r="Z3" s="251"/>
      <c r="AA3" s="251"/>
      <c r="AB3" s="251"/>
      <c r="AC3" s="251"/>
    </row>
    <row r="4" spans="2:33" x14ac:dyDescent="0.25">
      <c r="B4" s="246" t="s">
        <v>165</v>
      </c>
      <c r="G4" s="245" t="s">
        <v>123</v>
      </c>
      <c r="H4" s="247"/>
      <c r="I4" s="247"/>
      <c r="J4" s="247"/>
      <c r="K4" s="247"/>
      <c r="L4" s="247"/>
      <c r="M4" s="249"/>
      <c r="N4" s="249"/>
      <c r="O4" s="249"/>
      <c r="P4" s="249"/>
      <c r="Q4" s="249"/>
      <c r="R4" s="250"/>
      <c r="S4" s="250"/>
      <c r="T4" s="250"/>
      <c r="U4" s="251"/>
      <c r="V4" s="251"/>
      <c r="W4" s="251"/>
      <c r="X4" s="251"/>
      <c r="Y4" s="251"/>
      <c r="Z4" s="251"/>
      <c r="AA4" s="251"/>
      <c r="AB4" s="251"/>
      <c r="AC4" s="251"/>
    </row>
    <row r="5" spans="2:33" x14ac:dyDescent="0.25">
      <c r="B5" s="236" t="s">
        <v>138</v>
      </c>
      <c r="C5" t="s">
        <v>107</v>
      </c>
      <c r="D5">
        <v>2000</v>
      </c>
      <c r="E5">
        <v>2004</v>
      </c>
      <c r="G5" s="6" t="s">
        <v>161</v>
      </c>
      <c r="H5" s="247"/>
      <c r="I5" s="247"/>
      <c r="J5" s="247"/>
      <c r="K5" s="247"/>
      <c r="L5" s="249"/>
      <c r="M5" s="249"/>
      <c r="N5" s="249"/>
      <c r="O5" s="249"/>
      <c r="P5" s="249"/>
      <c r="Q5" s="250"/>
      <c r="R5" s="250"/>
      <c r="S5" s="250"/>
      <c r="T5" s="250"/>
      <c r="U5" s="251"/>
      <c r="V5" s="251"/>
      <c r="W5" s="251"/>
      <c r="X5" s="251"/>
      <c r="Y5" s="251"/>
      <c r="Z5" s="254"/>
      <c r="AA5" s="254"/>
      <c r="AB5" s="254"/>
      <c r="AC5" s="254"/>
    </row>
    <row r="6" spans="2:33" x14ac:dyDescent="0.25">
      <c r="B6" s="6"/>
      <c r="C6" s="240" t="s">
        <v>123</v>
      </c>
      <c r="D6">
        <v>2000</v>
      </c>
      <c r="E6">
        <v>2004</v>
      </c>
      <c r="G6" s="255" t="s">
        <v>166</v>
      </c>
      <c r="H6" s="247"/>
      <c r="I6" s="247"/>
      <c r="J6" s="247"/>
      <c r="K6" s="249"/>
      <c r="L6" s="249"/>
      <c r="M6" s="249"/>
      <c r="N6" s="249"/>
      <c r="O6" s="249"/>
      <c r="P6" s="249"/>
      <c r="Q6" s="250"/>
      <c r="R6" s="250"/>
      <c r="S6" s="250"/>
      <c r="T6" s="250"/>
      <c r="U6" s="458" t="s">
        <v>170</v>
      </c>
      <c r="V6" s="458"/>
      <c r="W6" s="458"/>
      <c r="X6" s="458"/>
      <c r="Y6" s="458"/>
      <c r="Z6" s="254"/>
      <c r="AA6" s="254"/>
      <c r="AB6" s="254"/>
      <c r="AC6" s="254"/>
    </row>
    <row r="7" spans="2:33" x14ac:dyDescent="0.25">
      <c r="B7" s="6"/>
      <c r="C7" t="s">
        <v>140</v>
      </c>
      <c r="D7">
        <v>1999</v>
      </c>
      <c r="E7">
        <v>2003</v>
      </c>
      <c r="G7" s="255" t="s">
        <v>167</v>
      </c>
      <c r="H7" s="247"/>
      <c r="I7" s="247"/>
      <c r="J7" s="247"/>
      <c r="K7" s="249"/>
      <c r="L7" s="249"/>
      <c r="M7" s="249"/>
      <c r="N7" s="249"/>
      <c r="O7" s="249"/>
      <c r="P7" s="249"/>
      <c r="Q7" s="250"/>
      <c r="R7" s="250"/>
      <c r="S7" s="250"/>
      <c r="T7" s="250"/>
      <c r="U7" s="252"/>
      <c r="V7" s="252"/>
      <c r="W7" s="252"/>
      <c r="X7" s="252"/>
      <c r="Y7" s="251"/>
      <c r="Z7" s="251"/>
      <c r="AA7" s="251"/>
      <c r="AB7" s="251"/>
      <c r="AC7" s="251"/>
    </row>
    <row r="8" spans="2:33" x14ac:dyDescent="0.25">
      <c r="B8" s="6"/>
      <c r="C8" t="s">
        <v>141</v>
      </c>
      <c r="D8">
        <v>1998</v>
      </c>
      <c r="E8">
        <v>2003</v>
      </c>
      <c r="G8" s="255" t="s">
        <v>162</v>
      </c>
      <c r="H8" s="247"/>
      <c r="I8" s="247"/>
      <c r="J8" s="249"/>
      <c r="K8" s="249"/>
      <c r="L8" s="249"/>
      <c r="M8" s="249"/>
      <c r="N8" s="249"/>
      <c r="O8" s="249"/>
      <c r="P8" s="250"/>
      <c r="Q8" s="250"/>
      <c r="R8" s="250"/>
      <c r="S8" s="250"/>
      <c r="T8" s="252"/>
      <c r="U8" s="252"/>
      <c r="V8" s="252"/>
      <c r="W8" s="252"/>
      <c r="X8" s="252"/>
      <c r="Y8" s="251"/>
      <c r="Z8" s="251"/>
      <c r="AA8" s="251"/>
      <c r="AB8" s="251"/>
      <c r="AC8" s="251"/>
      <c r="AE8" s="259" t="s">
        <v>174</v>
      </c>
    </row>
    <row r="9" spans="2:33" ht="15" customHeight="1" thickBot="1" x14ac:dyDescent="0.3">
      <c r="B9" s="6"/>
      <c r="C9" t="s">
        <v>142</v>
      </c>
      <c r="D9">
        <v>1997</v>
      </c>
      <c r="E9">
        <v>2002</v>
      </c>
      <c r="G9" s="6" t="s">
        <v>163</v>
      </c>
      <c r="H9" s="247"/>
      <c r="I9" s="248"/>
      <c r="J9" s="249"/>
      <c r="K9" s="249"/>
      <c r="L9" s="249"/>
      <c r="M9" s="249"/>
      <c r="N9" s="249"/>
      <c r="O9" s="249"/>
      <c r="P9" s="250"/>
      <c r="Q9" s="250"/>
      <c r="R9" s="250"/>
      <c r="S9" s="252"/>
      <c r="T9" s="252"/>
      <c r="U9" s="252"/>
      <c r="V9" s="252"/>
      <c r="W9" s="252"/>
      <c r="X9" s="251"/>
      <c r="Y9" s="251"/>
      <c r="Z9" s="251"/>
      <c r="AA9" s="251"/>
      <c r="AB9" s="251"/>
      <c r="AC9" s="251"/>
      <c r="AE9" s="259" t="s">
        <v>175</v>
      </c>
      <c r="AF9" s="259" t="s">
        <v>68</v>
      </c>
      <c r="AG9" s="259" t="s">
        <v>176</v>
      </c>
    </row>
    <row r="10" spans="2:33" ht="16.5" customHeight="1" thickBot="1" x14ac:dyDescent="0.3">
      <c r="B10" s="6"/>
      <c r="C10" t="s">
        <v>153</v>
      </c>
      <c r="D10">
        <v>1996</v>
      </c>
      <c r="E10">
        <v>2002</v>
      </c>
      <c r="G10" s="245" t="s">
        <v>122</v>
      </c>
      <c r="H10" s="247"/>
      <c r="I10" s="249"/>
      <c r="J10" s="249"/>
      <c r="K10" s="249"/>
      <c r="L10" s="249"/>
      <c r="M10" s="249"/>
      <c r="N10" s="250"/>
      <c r="O10" s="250"/>
      <c r="P10" s="250"/>
      <c r="Q10" s="250"/>
      <c r="R10" s="250"/>
      <c r="S10" s="252"/>
      <c r="T10" s="252"/>
      <c r="U10" s="252"/>
      <c r="V10" s="252"/>
      <c r="W10" s="252"/>
      <c r="X10" s="251"/>
      <c r="Y10" s="251"/>
      <c r="Z10" s="251"/>
      <c r="AA10" s="251"/>
      <c r="AB10" s="251"/>
      <c r="AC10" s="251"/>
      <c r="AE10" s="260">
        <v>2012</v>
      </c>
      <c r="AF10" s="261">
        <v>70</v>
      </c>
      <c r="AG10" s="262" t="str">
        <f>IF(OR(AND(AF10&lt;25,AE10&gt;1999,AE10&lt;2005),AND(AF10&gt;=25,AF10&lt;50,AE10&gt;1998,AE10&lt;2004),AND(AF10&gt;=50,AF10&lt;100,AE10&gt;1997,AE10&lt;2004),AND(AF10&gt;=100,AF10&lt;175,AE10&gt;1996,AE10&lt;2003),AND(AF10&gt;=175,AF10&lt;300,AE10&gt;1995,AE10&lt;2003),AND(AF10&gt;=300,AF10&lt;600,AE10&gt;1995,AE10&lt;2001),AND(AF10&gt;=600,AF10&lt;750,AE10&gt;1995,AE10&lt;2002),AND(AF10&gt;=750,AE10&gt;1999,AE10&lt;2006)),"Tier 1",IF(OR(AND(AF10&lt;25,AE10&gt;2004,AE10&lt;2008),AND(AF10&gt;=25,AF10&lt;100,AE10&gt;2003,AE10&lt;2008),AND(AF10&gt;=100,AF10&lt;175,AE10&gt;2002,AE10&lt;2007),AND(AF10&gt;=175,AF10&lt;300,AE10&gt;2002,AE10&lt;2006),AND(AF10&gt;=300,AF10&lt;600,AE10&gt;2000,AE10&lt;2006),AND(AF10&gt;=600,AF10&lt;750,AE10&gt;2001,AE10&lt;2006),AND(AF10&gt;=750,AE10&gt;2005,AE10&lt;2011)),"Tier 2",IF(OR(AND(AF10&gt;=50,AF10&lt;75,AE10&gt;2007,AE10&lt;2013),AND(AF10&gt;=75,AF10&lt;100,AE10&gt;2007,AE10&lt;2012),AND(AF10&gt;=100,AF10&lt;175,AE10&gt;2006,AE10&lt;2012),AND(AF10&gt;=175,AF10&lt;750,AE10&gt;2005,AE10&lt;2011)),"Tier 3",IF(OR(AND(AF10&lt;50,AE10&gt;2007),AND(AF10&gt;=50,AF10&lt;75,AE10&gt;2012),AND(AF10&gt;=75,AF10&lt;175,AE10&gt;2011),AND(AF10&gt;=175,AE10&gt;2010)),"Tier 4",IF(OR(AE10="",AF10=""),"","Tier 0")))))</f>
        <v>Tier 3</v>
      </c>
    </row>
    <row r="11" spans="2:33" x14ac:dyDescent="0.25">
      <c r="B11" s="6"/>
      <c r="C11" s="240" t="s">
        <v>122</v>
      </c>
      <c r="D11">
        <v>1996</v>
      </c>
      <c r="E11">
        <v>2000</v>
      </c>
      <c r="G11" s="6" t="s">
        <v>164</v>
      </c>
      <c r="H11" s="247"/>
      <c r="I11" s="249"/>
      <c r="J11" s="249"/>
      <c r="K11" s="249"/>
      <c r="L11" s="249"/>
      <c r="M11" s="249"/>
      <c r="N11" s="249"/>
      <c r="O11" s="250"/>
      <c r="P11" s="250"/>
      <c r="Q11" s="250"/>
      <c r="R11" s="250"/>
      <c r="S11" s="252"/>
      <c r="T11" s="252"/>
      <c r="U11" s="252"/>
      <c r="V11" s="252"/>
      <c r="W11" s="252"/>
      <c r="X11" s="251"/>
      <c r="Y11" s="251"/>
      <c r="Z11" s="251"/>
      <c r="AA11" s="251"/>
      <c r="AB11" s="251"/>
      <c r="AC11" s="251"/>
    </row>
    <row r="12" spans="2:33" x14ac:dyDescent="0.25">
      <c r="B12" s="6"/>
      <c r="C12" t="s">
        <v>154</v>
      </c>
      <c r="D12">
        <v>1996</v>
      </c>
      <c r="E12">
        <v>2001</v>
      </c>
      <c r="G12" s="245" t="s">
        <v>129</v>
      </c>
      <c r="H12" s="247"/>
      <c r="I12" s="247"/>
      <c r="J12" s="247"/>
      <c r="K12" s="247"/>
      <c r="L12" s="247"/>
      <c r="M12" s="249"/>
      <c r="N12" s="249"/>
      <c r="O12" s="249"/>
      <c r="P12" s="249"/>
      <c r="Q12" s="249"/>
      <c r="R12" s="249"/>
      <c r="S12" s="250"/>
      <c r="T12" s="250"/>
      <c r="U12" s="250"/>
      <c r="V12" s="250"/>
      <c r="W12" s="250"/>
      <c r="X12" s="251"/>
      <c r="Y12" s="251"/>
      <c r="Z12" s="251"/>
      <c r="AA12" s="251"/>
      <c r="AB12" s="254"/>
      <c r="AC12" s="254"/>
    </row>
    <row r="13" spans="2:33" x14ac:dyDescent="0.25">
      <c r="B13" s="6"/>
      <c r="C13" s="240" t="s">
        <v>129</v>
      </c>
      <c r="D13">
        <v>2000</v>
      </c>
      <c r="E13">
        <v>2005</v>
      </c>
    </row>
    <row r="14" spans="2:33" x14ac:dyDescent="0.25">
      <c r="B14" s="237" t="s">
        <v>139</v>
      </c>
      <c r="C14" t="s">
        <v>107</v>
      </c>
      <c r="D14">
        <v>2005</v>
      </c>
      <c r="E14">
        <v>2007</v>
      </c>
      <c r="J14" s="234" t="s">
        <v>169</v>
      </c>
    </row>
    <row r="15" spans="2:33" x14ac:dyDescent="0.25">
      <c r="B15" s="6"/>
      <c r="C15" s="240" t="s">
        <v>123</v>
      </c>
      <c r="D15">
        <v>2005</v>
      </c>
      <c r="E15">
        <v>2007</v>
      </c>
    </row>
    <row r="16" spans="2:33" x14ac:dyDescent="0.25">
      <c r="B16" s="6"/>
      <c r="C16" t="s">
        <v>140</v>
      </c>
      <c r="D16">
        <v>2004</v>
      </c>
      <c r="E16">
        <v>2007</v>
      </c>
      <c r="H16" s="246" t="s">
        <v>165</v>
      </c>
    </row>
    <row r="17" spans="2:32" x14ac:dyDescent="0.25">
      <c r="B17" s="6"/>
      <c r="C17" t="s">
        <v>141</v>
      </c>
      <c r="D17">
        <v>2004</v>
      </c>
      <c r="E17">
        <v>2007</v>
      </c>
      <c r="F17" s="5"/>
      <c r="G17" s="5"/>
      <c r="H17" s="236" t="s">
        <v>138</v>
      </c>
      <c r="I17" s="5"/>
      <c r="J17" s="5"/>
      <c r="K17" s="5"/>
      <c r="L17" s="5"/>
      <c r="M17" s="5"/>
      <c r="N17" s="5"/>
      <c r="O17" s="5"/>
      <c r="P17" s="5"/>
      <c r="Q17" s="5"/>
      <c r="R17" s="5"/>
      <c r="S17" s="5"/>
      <c r="T17" s="5"/>
      <c r="U17" s="5"/>
      <c r="V17" s="5"/>
      <c r="W17" s="5"/>
      <c r="X17" s="5"/>
      <c r="Y17" s="5"/>
    </row>
    <row r="18" spans="2:32" x14ac:dyDescent="0.25">
      <c r="B18" s="21"/>
      <c r="C18" t="s">
        <v>142</v>
      </c>
      <c r="D18" s="5">
        <v>2003</v>
      </c>
      <c r="E18" s="5">
        <v>2006</v>
      </c>
      <c r="F18" s="5"/>
      <c r="G18" s="5"/>
      <c r="H18" s="237" t="s">
        <v>139</v>
      </c>
      <c r="I18" s="5"/>
      <c r="J18" s="5"/>
      <c r="K18" s="5"/>
      <c r="L18" s="5"/>
      <c r="M18" s="5"/>
      <c r="N18" s="5"/>
      <c r="O18" s="5"/>
      <c r="P18" s="5"/>
      <c r="Q18" s="5"/>
      <c r="R18" s="5"/>
      <c r="S18" s="5"/>
      <c r="T18" s="5"/>
      <c r="U18" s="5"/>
      <c r="V18" s="5"/>
      <c r="W18" s="5"/>
      <c r="X18" s="5"/>
      <c r="Y18" s="5"/>
    </row>
    <row r="19" spans="2:32" x14ac:dyDescent="0.25">
      <c r="B19" s="21"/>
      <c r="C19" t="s">
        <v>153</v>
      </c>
      <c r="D19" s="5">
        <v>2003</v>
      </c>
      <c r="E19" s="5">
        <v>2005</v>
      </c>
      <c r="F19" s="5"/>
      <c r="G19" s="5"/>
      <c r="H19" s="238" t="s">
        <v>13</v>
      </c>
      <c r="I19" s="5"/>
      <c r="J19" s="5"/>
      <c r="K19" s="5"/>
      <c r="L19" s="5"/>
      <c r="M19" s="5"/>
      <c r="N19" s="5"/>
      <c r="O19" s="5"/>
      <c r="P19" s="5"/>
      <c r="Q19" s="5"/>
      <c r="R19" s="5"/>
      <c r="S19" s="5"/>
      <c r="T19" s="5"/>
      <c r="U19" s="5"/>
      <c r="V19" s="5"/>
      <c r="W19" s="5"/>
      <c r="X19" s="5"/>
      <c r="Y19" s="5"/>
    </row>
    <row r="20" spans="2:32" x14ac:dyDescent="0.25">
      <c r="B20" s="21"/>
      <c r="C20" s="240" t="s">
        <v>122</v>
      </c>
      <c r="D20" s="5">
        <v>2001</v>
      </c>
      <c r="E20" s="5">
        <v>2005</v>
      </c>
      <c r="F20" s="5"/>
      <c r="G20" s="5"/>
      <c r="H20" s="239" t="s">
        <v>14</v>
      </c>
      <c r="I20" s="5"/>
      <c r="J20" s="5"/>
      <c r="K20" s="5"/>
      <c r="L20" s="5"/>
      <c r="M20" s="5"/>
      <c r="N20" s="5"/>
      <c r="O20" s="5"/>
      <c r="P20" s="5"/>
      <c r="Q20" s="5"/>
      <c r="R20" s="5"/>
      <c r="S20" s="5"/>
      <c r="T20" s="5"/>
      <c r="U20" s="5"/>
      <c r="V20" s="5"/>
      <c r="W20" s="5"/>
      <c r="X20" s="5"/>
      <c r="Y20" s="5"/>
    </row>
    <row r="21" spans="2:32" x14ac:dyDescent="0.25">
      <c r="B21" s="21"/>
      <c r="C21" t="s">
        <v>154</v>
      </c>
      <c r="D21" s="5">
        <v>2002</v>
      </c>
      <c r="E21" s="5">
        <v>2005</v>
      </c>
      <c r="F21" s="5"/>
      <c r="G21" s="5"/>
      <c r="H21" s="253" t="s">
        <v>183</v>
      </c>
      <c r="I21" s="5"/>
      <c r="J21" s="5"/>
      <c r="K21" s="5"/>
      <c r="L21" s="5"/>
      <c r="M21" s="5"/>
      <c r="N21" s="5"/>
      <c r="O21" s="5"/>
      <c r="P21" s="5"/>
      <c r="Q21" s="5"/>
      <c r="R21" s="5"/>
      <c r="S21" s="5"/>
      <c r="T21" s="5"/>
      <c r="U21" s="5"/>
      <c r="V21" s="5"/>
      <c r="W21" s="5"/>
      <c r="X21" s="5"/>
      <c r="Y21" s="5"/>
    </row>
    <row r="22" spans="2:32" x14ac:dyDescent="0.25">
      <c r="B22" s="21"/>
      <c r="C22" s="240" t="s">
        <v>129</v>
      </c>
      <c r="D22" s="5">
        <v>2006</v>
      </c>
      <c r="E22" s="5">
        <v>2010</v>
      </c>
    </row>
    <row r="23" spans="2:32" x14ac:dyDescent="0.25">
      <c r="B23" s="238" t="s">
        <v>13</v>
      </c>
      <c r="C23" t="s">
        <v>107</v>
      </c>
      <c r="D23" s="241"/>
      <c r="E23" s="241"/>
      <c r="J23" s="234" t="s">
        <v>168</v>
      </c>
    </row>
    <row r="24" spans="2:32" x14ac:dyDescent="0.25">
      <c r="B24" s="6"/>
      <c r="C24" s="240" t="s">
        <v>123</v>
      </c>
      <c r="D24" s="241"/>
      <c r="E24" s="241"/>
      <c r="F24" s="5"/>
      <c r="G24" s="5"/>
      <c r="H24" s="5"/>
      <c r="I24" s="5"/>
      <c r="J24" s="5"/>
      <c r="K24" s="5"/>
      <c r="L24" s="5"/>
      <c r="M24" s="5"/>
      <c r="N24" s="5"/>
      <c r="O24" s="5"/>
      <c r="P24" s="5"/>
      <c r="Q24" s="5"/>
      <c r="R24" s="5"/>
      <c r="S24" s="5"/>
      <c r="T24" s="5"/>
      <c r="U24" s="5"/>
      <c r="V24" s="5"/>
      <c r="W24" s="5"/>
      <c r="X24" s="5"/>
      <c r="Y24" s="5"/>
    </row>
    <row r="25" spans="2:32" x14ac:dyDescent="0.25">
      <c r="B25" s="21"/>
      <c r="C25" t="s">
        <v>140</v>
      </c>
      <c r="D25" s="242"/>
      <c r="E25" s="242"/>
      <c r="F25" s="5"/>
      <c r="G25" s="5"/>
      <c r="H25" s="5"/>
      <c r="I25" s="5"/>
      <c r="J25" s="5"/>
      <c r="K25" s="5"/>
      <c r="L25" s="5"/>
      <c r="M25" s="5"/>
      <c r="N25" s="5"/>
      <c r="O25" s="5"/>
      <c r="P25" s="5"/>
      <c r="Q25" s="5"/>
      <c r="R25" s="5"/>
      <c r="S25" s="5"/>
      <c r="T25" s="5"/>
      <c r="U25" s="5"/>
      <c r="V25" s="5"/>
      <c r="W25" s="5"/>
      <c r="X25" s="5"/>
      <c r="Y25" s="5"/>
    </row>
    <row r="26" spans="2:32" x14ac:dyDescent="0.25">
      <c r="B26" s="21"/>
      <c r="C26" s="15" t="s">
        <v>141</v>
      </c>
      <c r="D26" s="5">
        <v>2008</v>
      </c>
      <c r="E26" s="5">
        <v>2008</v>
      </c>
      <c r="F26" s="5"/>
      <c r="G26" s="5"/>
      <c r="H26" s="5"/>
      <c r="I26" s="5"/>
      <c r="J26" s="5"/>
      <c r="K26" s="5"/>
      <c r="L26" s="5"/>
      <c r="M26" s="5"/>
      <c r="N26" s="5"/>
      <c r="O26" s="5"/>
      <c r="P26" s="5"/>
      <c r="Q26" s="5"/>
      <c r="R26" s="5"/>
      <c r="S26" s="5"/>
      <c r="T26" s="5"/>
      <c r="U26" s="5"/>
      <c r="V26" s="5"/>
      <c r="W26" s="5"/>
      <c r="X26" s="5"/>
      <c r="Y26" s="5"/>
    </row>
    <row r="27" spans="2:32" ht="15.75" thickBot="1" x14ac:dyDescent="0.3">
      <c r="B27" s="21"/>
      <c r="C27" s="15" t="s">
        <v>142</v>
      </c>
      <c r="D27" s="5">
        <v>2007</v>
      </c>
      <c r="E27" s="5">
        <v>2011</v>
      </c>
      <c r="F27" s="5"/>
      <c r="G27" s="5"/>
      <c r="H27" s="5"/>
      <c r="I27" s="5"/>
      <c r="J27" s="5"/>
      <c r="K27" s="5"/>
      <c r="L27" s="5"/>
      <c r="M27" s="5"/>
      <c r="N27" s="5"/>
      <c r="O27" s="5"/>
      <c r="P27" s="5"/>
      <c r="Q27" s="5"/>
      <c r="R27" s="5"/>
      <c r="S27" s="5"/>
      <c r="T27" s="5"/>
      <c r="U27" s="5"/>
      <c r="V27" s="5"/>
      <c r="W27" s="5"/>
      <c r="X27" s="5"/>
      <c r="Y27" s="5"/>
    </row>
    <row r="28" spans="2:32" ht="15" customHeight="1" x14ac:dyDescent="0.25">
      <c r="B28" s="21"/>
      <c r="C28" t="s">
        <v>153</v>
      </c>
      <c r="D28" s="5">
        <v>2006</v>
      </c>
      <c r="E28" s="5">
        <v>2010</v>
      </c>
      <c r="F28" s="5"/>
      <c r="G28" s="459" t="s">
        <v>173</v>
      </c>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1"/>
    </row>
    <row r="29" spans="2:32" ht="15" customHeight="1" x14ac:dyDescent="0.25">
      <c r="B29" s="21"/>
      <c r="C29" s="240" t="s">
        <v>122</v>
      </c>
      <c r="D29" s="5">
        <v>2006</v>
      </c>
      <c r="E29" s="5">
        <v>2010</v>
      </c>
      <c r="F29" s="5"/>
      <c r="G29" s="462"/>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4"/>
    </row>
    <row r="30" spans="2:32" x14ac:dyDescent="0.25">
      <c r="B30" s="21"/>
      <c r="C30" t="s">
        <v>154</v>
      </c>
      <c r="D30" s="5">
        <v>2006</v>
      </c>
      <c r="E30" s="5">
        <v>2010</v>
      </c>
      <c r="F30" s="5"/>
      <c r="G30" s="462"/>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4"/>
    </row>
    <row r="31" spans="2:32" x14ac:dyDescent="0.25">
      <c r="B31" s="21"/>
      <c r="C31" s="240" t="s">
        <v>129</v>
      </c>
      <c r="D31" s="242"/>
      <c r="E31" s="242"/>
      <c r="G31" s="462"/>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4"/>
    </row>
    <row r="32" spans="2:32" x14ac:dyDescent="0.25">
      <c r="B32" s="239" t="s">
        <v>14</v>
      </c>
      <c r="C32" t="s">
        <v>107</v>
      </c>
      <c r="D32" s="5">
        <v>2008</v>
      </c>
      <c r="E32" s="241"/>
      <c r="G32" s="462"/>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4"/>
    </row>
    <row r="33" spans="2:32" x14ac:dyDescent="0.25">
      <c r="C33" s="240" t="s">
        <v>123</v>
      </c>
      <c r="D33" s="5">
        <v>2008</v>
      </c>
      <c r="E33" s="241"/>
      <c r="G33" s="462"/>
      <c r="H33" s="463"/>
      <c r="I33" s="463"/>
      <c r="J33" s="463"/>
      <c r="K33" s="463"/>
      <c r="L33" s="463"/>
      <c r="M33" s="463"/>
      <c r="N33" s="463"/>
      <c r="O33" s="463"/>
      <c r="P33" s="463"/>
      <c r="Q33" s="463"/>
      <c r="R33" s="463"/>
      <c r="S33" s="463"/>
      <c r="T33" s="463"/>
      <c r="U33" s="463"/>
      <c r="V33" s="463"/>
      <c r="W33" s="463"/>
      <c r="X33" s="463"/>
      <c r="Y33" s="463"/>
      <c r="Z33" s="463"/>
      <c r="AA33" s="463"/>
      <c r="AB33" s="463"/>
      <c r="AC33" s="463"/>
      <c r="AD33" s="463"/>
      <c r="AE33" s="463"/>
      <c r="AF33" s="464"/>
    </row>
    <row r="34" spans="2:32" ht="15.75" thickBot="1" x14ac:dyDescent="0.3">
      <c r="B34" s="253" t="s">
        <v>183</v>
      </c>
      <c r="C34" t="s">
        <v>140</v>
      </c>
      <c r="D34" s="243" t="s">
        <v>157</v>
      </c>
      <c r="E34" s="256"/>
      <c r="G34" s="465"/>
      <c r="H34" s="466"/>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7"/>
    </row>
    <row r="35" spans="2:32" x14ac:dyDescent="0.25">
      <c r="B35" s="253" t="s">
        <v>183</v>
      </c>
      <c r="C35" s="15" t="s">
        <v>171</v>
      </c>
      <c r="D35" s="243" t="s">
        <v>157</v>
      </c>
      <c r="E35" s="256"/>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row>
    <row r="36" spans="2:32" ht="15" customHeight="1" x14ac:dyDescent="0.25">
      <c r="C36" s="15" t="s">
        <v>172</v>
      </c>
      <c r="D36" s="243">
        <v>2012</v>
      </c>
      <c r="E36" s="256"/>
      <c r="F36" s="5"/>
      <c r="G36" s="258"/>
      <c r="L36" s="258"/>
      <c r="N36" s="258"/>
      <c r="O36" s="258"/>
      <c r="P36" s="258"/>
      <c r="Q36" s="258"/>
      <c r="R36" s="258"/>
      <c r="S36" s="258"/>
      <c r="T36" s="258"/>
      <c r="U36" s="258"/>
      <c r="V36" s="258"/>
      <c r="W36" s="258"/>
      <c r="X36" s="258"/>
      <c r="Y36" s="258"/>
      <c r="Z36" s="258"/>
      <c r="AA36" s="258"/>
      <c r="AB36" s="258"/>
      <c r="AC36" s="258"/>
      <c r="AD36" s="258"/>
      <c r="AE36" s="258"/>
      <c r="AF36" s="258"/>
    </row>
    <row r="37" spans="2:32" x14ac:dyDescent="0.25">
      <c r="C37" t="s">
        <v>153</v>
      </c>
      <c r="D37" s="244">
        <v>2011</v>
      </c>
      <c r="E37" s="257"/>
      <c r="F37" s="5"/>
      <c r="G37" s="258"/>
      <c r="L37" s="258"/>
      <c r="N37" s="6"/>
      <c r="O37" s="6"/>
      <c r="P37" s="6"/>
      <c r="Q37" s="6"/>
      <c r="R37" s="6"/>
      <c r="S37" s="6"/>
      <c r="T37" s="6"/>
      <c r="U37" s="258"/>
      <c r="V37" s="258"/>
      <c r="W37" s="258"/>
      <c r="X37" s="258"/>
      <c r="Y37" s="258"/>
      <c r="Z37" s="258"/>
      <c r="AA37" s="258"/>
      <c r="AB37" s="258"/>
      <c r="AC37" s="258"/>
      <c r="AD37" s="258"/>
      <c r="AE37" s="258"/>
      <c r="AF37" s="258"/>
    </row>
    <row r="38" spans="2:32" x14ac:dyDescent="0.25">
      <c r="B38" s="5"/>
      <c r="C38" s="240" t="s">
        <v>122</v>
      </c>
      <c r="D38" s="244">
        <v>2011</v>
      </c>
      <c r="E38" s="257"/>
      <c r="F38" s="5"/>
      <c r="G38" s="5"/>
      <c r="H38" s="5"/>
      <c r="I38" s="5"/>
      <c r="J38" s="5"/>
      <c r="K38" s="258"/>
      <c r="L38" s="5"/>
      <c r="M38" s="5"/>
      <c r="N38" s="5"/>
      <c r="O38" s="5"/>
      <c r="P38" s="5"/>
      <c r="Q38" s="5"/>
      <c r="R38" s="5"/>
      <c r="S38" s="5"/>
      <c r="T38" s="5"/>
      <c r="U38" s="5"/>
      <c r="V38" s="5"/>
      <c r="W38" s="5"/>
      <c r="X38" s="5"/>
      <c r="Y38" s="5"/>
    </row>
    <row r="39" spans="2:32" x14ac:dyDescent="0.25">
      <c r="B39" s="5"/>
      <c r="C39" t="s">
        <v>154</v>
      </c>
      <c r="D39" s="244">
        <v>2011</v>
      </c>
      <c r="E39" s="257"/>
      <c r="F39" s="5"/>
      <c r="G39" s="5"/>
      <c r="H39" s="5"/>
      <c r="I39" s="5"/>
      <c r="J39" s="5"/>
      <c r="K39" s="5"/>
      <c r="L39" s="5"/>
      <c r="M39" s="5"/>
      <c r="N39" s="5"/>
      <c r="O39" s="5"/>
      <c r="P39" s="5"/>
      <c r="Q39" s="5"/>
      <c r="R39" s="5"/>
      <c r="S39" s="5"/>
      <c r="T39" s="5"/>
      <c r="U39" s="5"/>
      <c r="V39" s="5"/>
      <c r="W39" s="5"/>
      <c r="X39" s="5"/>
      <c r="Y39" s="5"/>
    </row>
    <row r="40" spans="2:32" x14ac:dyDescent="0.25">
      <c r="B40" s="253" t="s">
        <v>183</v>
      </c>
      <c r="C40" s="240" t="s">
        <v>129</v>
      </c>
      <c r="D40" s="244" t="s">
        <v>158</v>
      </c>
      <c r="E40" s="257"/>
      <c r="F40" s="5"/>
      <c r="G40" s="5"/>
      <c r="H40" s="5"/>
      <c r="I40" s="5"/>
      <c r="J40" s="5"/>
      <c r="K40" s="5"/>
      <c r="L40" s="5"/>
      <c r="M40" s="5"/>
      <c r="N40" s="5"/>
      <c r="O40" s="5"/>
      <c r="P40" s="5"/>
      <c r="Q40" s="5"/>
      <c r="R40" s="5"/>
      <c r="S40" s="5"/>
      <c r="T40" s="5"/>
      <c r="U40" s="5"/>
      <c r="V40" s="5"/>
      <c r="W40" s="5"/>
      <c r="X40" s="5"/>
      <c r="Y40" s="5"/>
    </row>
    <row r="41" spans="2:32" x14ac:dyDescent="0.25">
      <c r="C41" s="5"/>
      <c r="D41" s="5"/>
      <c r="E41" s="5"/>
      <c r="F41" s="5"/>
      <c r="G41" s="5"/>
      <c r="H41" s="5"/>
      <c r="I41" s="5"/>
      <c r="J41" s="5"/>
      <c r="K41" s="5"/>
      <c r="L41" s="5"/>
      <c r="M41" s="5"/>
      <c r="N41" s="5"/>
      <c r="O41" s="5"/>
      <c r="P41" s="5"/>
      <c r="Q41" s="5"/>
      <c r="R41" s="5"/>
      <c r="S41" s="5"/>
      <c r="T41" s="5"/>
      <c r="U41" s="5"/>
      <c r="V41" s="5"/>
      <c r="W41" s="5"/>
      <c r="X41" s="5"/>
      <c r="Y41" s="5"/>
    </row>
    <row r="42" spans="2:32" x14ac:dyDescent="0.25">
      <c r="C42" s="5"/>
      <c r="D42" s="5"/>
      <c r="E42" s="5"/>
      <c r="F42" s="5"/>
      <c r="G42" s="5"/>
      <c r="H42" s="5"/>
      <c r="I42" s="5"/>
      <c r="J42" s="5"/>
      <c r="K42" s="5"/>
      <c r="L42" s="5"/>
      <c r="M42" s="5"/>
      <c r="N42" s="5"/>
      <c r="O42" s="5"/>
      <c r="P42" s="5"/>
      <c r="Q42" s="5"/>
      <c r="R42" s="5"/>
      <c r="S42" s="5"/>
      <c r="T42" s="5"/>
      <c r="U42" s="5"/>
      <c r="V42" s="5"/>
      <c r="W42" s="5"/>
      <c r="X42" s="5"/>
      <c r="Y42" s="5"/>
    </row>
    <row r="43" spans="2:32" x14ac:dyDescent="0.25">
      <c r="C43" s="5"/>
      <c r="D43" s="5"/>
      <c r="E43" s="5"/>
      <c r="F43" s="5"/>
      <c r="G43" s="5"/>
      <c r="H43" s="5"/>
      <c r="I43" s="5"/>
      <c r="J43" s="5"/>
      <c r="K43" s="5"/>
      <c r="L43" s="5"/>
      <c r="M43" s="5"/>
      <c r="N43" s="5"/>
      <c r="O43" s="5"/>
      <c r="P43" s="5"/>
      <c r="Q43" s="5"/>
      <c r="R43" s="5"/>
      <c r="S43" s="5"/>
      <c r="T43" s="5"/>
      <c r="U43" s="5"/>
      <c r="V43" s="5"/>
      <c r="W43" s="5"/>
      <c r="X43" s="5"/>
      <c r="Y43" s="5"/>
    </row>
    <row r="44" spans="2:32" x14ac:dyDescent="0.25">
      <c r="B44" s="5"/>
      <c r="C44" s="5"/>
      <c r="D44" s="5"/>
      <c r="E44" s="5"/>
      <c r="F44" s="5"/>
      <c r="G44" s="5"/>
      <c r="H44" s="5"/>
      <c r="I44" s="5"/>
      <c r="J44" s="5"/>
      <c r="K44" s="5"/>
      <c r="L44" s="5"/>
      <c r="M44" s="5"/>
      <c r="N44" s="5"/>
      <c r="O44" s="5"/>
      <c r="P44" s="5"/>
      <c r="Q44" s="5"/>
      <c r="R44" s="5"/>
      <c r="S44" s="5"/>
      <c r="T44" s="5"/>
      <c r="U44" s="5"/>
      <c r="V44" s="5"/>
      <c r="W44" s="5"/>
      <c r="X44" s="5"/>
      <c r="Y44" s="5"/>
    </row>
  </sheetData>
  <sheetProtection algorithmName="SHA-512" hashValue="IZ4AQ8mFX+tL4Pq8IzXFzUmULBZCgV2qOdwsbVvDlwF0oXw+zFxAWTyrkTxu0Zc7OiE7VuL5DK5rfGxWjIACNA==" saltValue="Bjs9+kLS7K0yVz2GAJ0NSw==" spinCount="100000" sheet="1" objects="1" scenarios="1"/>
  <mergeCells count="3">
    <mergeCell ref="B2:D2"/>
    <mergeCell ref="U6:Y6"/>
    <mergeCell ref="G28:AF34"/>
  </mergeCells>
  <phoneticPr fontId="9" type="noConversion"/>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DD050AEBC21340A2AB405EAC07BD0A" ma:contentTypeVersion="16" ma:contentTypeDescription="Create a new document." ma:contentTypeScope="" ma:versionID="27d036838b72c1bdba9e1206f28dae43">
  <xsd:schema xmlns:xsd="http://www.w3.org/2001/XMLSchema" xmlns:xs="http://www.w3.org/2001/XMLSchema" xmlns:p="http://schemas.microsoft.com/office/2006/metadata/properties" xmlns:ns2="7f46a7c5-3728-4b03-885e-47887da836c7" xmlns:ns3="a09a8f46-4864-4d75-850d-6a9f8186cce3" targetNamespace="http://schemas.microsoft.com/office/2006/metadata/properties" ma:root="true" ma:fieldsID="8147db60eab02608fea8be765e524866" ns2:_="" ns3:_="">
    <xsd:import namespace="7f46a7c5-3728-4b03-885e-47887da836c7"/>
    <xsd:import namespace="a09a8f46-4864-4d75-850d-6a9f8186cce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LengthInSecond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6a7c5-3728-4b03-885e-47887da836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b48f011-0c99-48a8-b23c-e11e698ab552"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9a8f46-4864-4d75-850d-6a9f8186cc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f1d62c5-2651-4e96-91de-6804a4f97812}" ma:internalName="TaxCatchAll" ma:showField="CatchAllData" ma:web="a09a8f46-4864-4d75-850d-6a9f8186cc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09a8f46-4864-4d75-850d-6a9f8186cce3" xsi:nil="true"/>
    <lcf76f155ced4ddcb4097134ff3c332f xmlns="7f46a7c5-3728-4b03-885e-47887da836c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966770-5C60-451B-96AA-18D2BB810C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46a7c5-3728-4b03-885e-47887da836c7"/>
    <ds:schemaRef ds:uri="a09a8f46-4864-4d75-850d-6a9f8186cc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798106-6607-4B50-83AD-E3350068DB36}">
  <ds:schemaRefs>
    <ds:schemaRef ds:uri="http://schemas.microsoft.com/sharepoint/v3/contenttype/forms"/>
  </ds:schemaRefs>
</ds:datastoreItem>
</file>

<file path=customXml/itemProps3.xml><?xml version="1.0" encoding="utf-8"?>
<ds:datastoreItem xmlns:ds="http://schemas.openxmlformats.org/officeDocument/2006/customXml" ds:itemID="{5E0A4163-77F1-4276-A9BE-25D0EEB19D2E}">
  <ds:schemaRefs>
    <ds:schemaRef ds:uri="http://schemas.microsoft.com/office/2006/metadata/properties"/>
    <ds:schemaRef ds:uri="http://schemas.microsoft.com/office/infopath/2007/PartnerControls"/>
    <ds:schemaRef ds:uri="a09a8f46-4864-4d75-850d-6a9f8186cce3"/>
    <ds:schemaRef ds:uri="7f46a7c5-3728-4b03-885e-47887da836c7"/>
  </ds:schemaRefs>
</ds:datastoreItem>
</file>

<file path=docMetadata/LabelInfo.xml><?xml version="1.0" encoding="utf-8"?>
<clbl:labelList xmlns:clbl="http://schemas.microsoft.com/office/2020/mipLabelMetadata">
  <clbl:label id="{a2a21b60-5625-43fe-a55a-52f5e111d71c}" enabled="0" method="" siteId="{a2a21b60-5625-43fe-a55a-52f5e111d71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35</vt:i4>
      </vt:variant>
    </vt:vector>
  </HeadingPairs>
  <TitlesOfParts>
    <vt:vector size="43" baseType="lpstr">
      <vt:lpstr>Emissions</vt:lpstr>
      <vt:lpstr>Monthly Tracker</vt:lpstr>
      <vt:lpstr>Tier 0</vt:lpstr>
      <vt:lpstr>Tier 1</vt:lpstr>
      <vt:lpstr>Tier 2</vt:lpstr>
      <vt:lpstr>Tier 3</vt:lpstr>
      <vt:lpstr>Tier 4</vt:lpstr>
      <vt:lpstr>Tier Determination</vt:lpstr>
      <vt:lpstr>Tier0_CO</vt:lpstr>
      <vt:lpstr>Tier0_NOx</vt:lpstr>
      <vt:lpstr>Tier0_PM10</vt:lpstr>
      <vt:lpstr>Tier0_PM2.5</vt:lpstr>
      <vt:lpstr>Tier0_SO2</vt:lpstr>
      <vt:lpstr>Tier0_TOX</vt:lpstr>
      <vt:lpstr>Tier0_VOC</vt:lpstr>
      <vt:lpstr>Tier1_CO</vt:lpstr>
      <vt:lpstr>Tier1_NOx</vt:lpstr>
      <vt:lpstr>Tier1_PM10</vt:lpstr>
      <vt:lpstr>Tier1_PM2.5</vt:lpstr>
      <vt:lpstr>Tier1_SO2</vt:lpstr>
      <vt:lpstr>Tier1_TOX</vt:lpstr>
      <vt:lpstr>Tier1_VOC</vt:lpstr>
      <vt:lpstr>Tier2_CO</vt:lpstr>
      <vt:lpstr>Tier2_NOx</vt:lpstr>
      <vt:lpstr>Tier2_PM10</vt:lpstr>
      <vt:lpstr>Tier2_PM2.5</vt:lpstr>
      <vt:lpstr>Tier2_SO2</vt:lpstr>
      <vt:lpstr>Tier2_TOX</vt:lpstr>
      <vt:lpstr>Tier2_VOC</vt:lpstr>
      <vt:lpstr>Tier3_CO</vt:lpstr>
      <vt:lpstr>Tier3_NOx</vt:lpstr>
      <vt:lpstr>Tier3_PM10</vt:lpstr>
      <vt:lpstr>Tier3_PM2.5</vt:lpstr>
      <vt:lpstr>Tier3_SO2</vt:lpstr>
      <vt:lpstr>Tier3_TOX</vt:lpstr>
      <vt:lpstr>Tier3_VOC</vt:lpstr>
      <vt:lpstr>Tier4_CO</vt:lpstr>
      <vt:lpstr>Tier4_NOx</vt:lpstr>
      <vt:lpstr>Tier4_PM10</vt:lpstr>
      <vt:lpstr>Tier4_PM2.5</vt:lpstr>
      <vt:lpstr>Tier4_SO2</vt:lpstr>
      <vt:lpstr>Tier4_TOX</vt:lpstr>
      <vt:lpstr>Tier4_VOC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Koyama, Brandon</dc:creator>
  <cp:keywords/>
  <dc:description/>
  <cp:lastModifiedBy>Dodge, Chloe</cp:lastModifiedBy>
  <cp:revision/>
  <dcterms:created xsi:type="dcterms:W3CDTF">2025-01-10T17:39:26Z</dcterms:created>
  <dcterms:modified xsi:type="dcterms:W3CDTF">2025-05-06T18:13:07Z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0x010100CFDD050AEBC21340A2AB405EAC07BD0A</vt:lpwstr>
  </property>
  <property fmtid="{D5CDD505-2E9C-101B-9397-08002B2CF9AE}" pid="3" name="MediaServiceImageTags">
    <vt:lpwstr/>
  </property>
</Properties>
</file>